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chiseldonpc-my.sharepoint.com/personal/nina_hempstock_chiseldon-pc_gov_uk/Documents/Desktop/Finance/Detailed Transcation Report for FC Meeting/"/>
    </mc:Choice>
  </mc:AlternateContent>
  <xr:revisionPtr revIDLastSave="142" documentId="8_{4672EB4D-53AC-4B82-B888-385D11A2FB83}" xr6:coauthVersionLast="47" xr6:coauthVersionMax="47" xr10:uidLastSave="{AF81CA19-F637-4AFA-9BE1-6B6077552B06}"/>
  <bookViews>
    <workbookView xWindow="-108" yWindow="-108" windowWidth="23256" windowHeight="12456" xr2:uid="{00000000-000D-0000-FFFF-FFFF00000000}"/>
  </bookViews>
  <sheets>
    <sheet name="General Ledger Detail" sheetId="1" r:id="rId1"/>
    <sheet name="Audit Trail Allocated Reserves" sheetId="2" r:id="rId2"/>
    <sheet name="Budget in Xero" sheetId="3" r:id="rId3"/>
  </sheets>
  <definedNames>
    <definedName name="_xlnm._FilterDatabase" localSheetId="1" hidden="1">'Audit Trail Allocated Reserves'!$A$46:$O$84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2" l="1"/>
  <c r="J95" i="1"/>
  <c r="C84" i="2"/>
  <c r="C98" i="2"/>
  <c r="J110" i="1"/>
  <c r="N132" i="3" l="1"/>
  <c r="N133" i="3" s="1"/>
  <c r="F128" i="3"/>
  <c r="K126" i="3"/>
  <c r="I126" i="3"/>
  <c r="G126" i="3"/>
  <c r="F126" i="3"/>
  <c r="C126" i="3"/>
  <c r="M124" i="3"/>
  <c r="M126" i="3" s="1"/>
  <c r="L124" i="3"/>
  <c r="L126" i="3" s="1"/>
  <c r="K124" i="3"/>
  <c r="J124" i="3"/>
  <c r="J126" i="3" s="1"/>
  <c r="I124" i="3"/>
  <c r="H124" i="3"/>
  <c r="H126" i="3" s="1"/>
  <c r="G124" i="3"/>
  <c r="F124" i="3"/>
  <c r="E124" i="3"/>
  <c r="E126" i="3" s="1"/>
  <c r="D124" i="3"/>
  <c r="D126" i="3" s="1"/>
  <c r="C124" i="3"/>
  <c r="N124" i="3" s="1"/>
  <c r="B124" i="3"/>
  <c r="B126" i="3" s="1"/>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M42" i="3"/>
  <c r="L42" i="3"/>
  <c r="K42" i="3"/>
  <c r="J42" i="3"/>
  <c r="I42" i="3"/>
  <c r="H42" i="3"/>
  <c r="G42" i="3"/>
  <c r="F42" i="3"/>
  <c r="E42" i="3"/>
  <c r="D42" i="3"/>
  <c r="C42" i="3"/>
  <c r="B42" i="3"/>
  <c r="N42" i="3" s="1"/>
  <c r="N41" i="3"/>
  <c r="N40" i="3"/>
  <c r="M37" i="3"/>
  <c r="L37" i="3"/>
  <c r="L128" i="3" s="1"/>
  <c r="K37" i="3"/>
  <c r="K128" i="3" s="1"/>
  <c r="G37" i="3"/>
  <c r="G128" i="3" s="1"/>
  <c r="F37" i="3"/>
  <c r="E37" i="3"/>
  <c r="D37" i="3"/>
  <c r="D128" i="3" s="1"/>
  <c r="C37" i="3"/>
  <c r="C128" i="3" s="1"/>
  <c r="M35" i="3"/>
  <c r="L35" i="3"/>
  <c r="K35" i="3"/>
  <c r="J35" i="3"/>
  <c r="J37" i="3" s="1"/>
  <c r="J128" i="3" s="1"/>
  <c r="I35" i="3"/>
  <c r="I37" i="3" s="1"/>
  <c r="I128" i="3" s="1"/>
  <c r="H35" i="3"/>
  <c r="H37" i="3" s="1"/>
  <c r="H128" i="3" s="1"/>
  <c r="G35" i="3"/>
  <c r="F35" i="3"/>
  <c r="E35" i="3"/>
  <c r="D35" i="3"/>
  <c r="C35" i="3"/>
  <c r="N35" i="3" s="1"/>
  <c r="B35" i="3"/>
  <c r="B37" i="3" s="1"/>
  <c r="N34" i="3"/>
  <c r="N33" i="3"/>
  <c r="N32" i="3"/>
  <c r="N31" i="3"/>
  <c r="N30" i="3"/>
  <c r="N29" i="3"/>
  <c r="N28" i="3"/>
  <c r="N27" i="3"/>
  <c r="N26" i="3"/>
  <c r="N25" i="3"/>
  <c r="N24" i="3"/>
  <c r="N23" i="3"/>
  <c r="N22" i="3"/>
  <c r="N21" i="3"/>
  <c r="N20" i="3"/>
  <c r="N19" i="3"/>
  <c r="N18" i="3"/>
  <c r="N17" i="3"/>
  <c r="N16" i="3"/>
  <c r="N15" i="3"/>
  <c r="N14" i="3"/>
  <c r="N13" i="3"/>
  <c r="N12" i="3"/>
  <c r="N11" i="3"/>
  <c r="N10" i="3"/>
  <c r="N9" i="3"/>
  <c r="N8" i="3"/>
  <c r="C97" i="2"/>
  <c r="C96" i="2"/>
  <c r="C95" i="2"/>
  <c r="M92" i="2"/>
  <c r="M85" i="2"/>
  <c r="C83" i="2"/>
  <c r="C82" i="2"/>
  <c r="C81" i="2"/>
  <c r="C80" i="2"/>
  <c r="C79" i="2"/>
  <c r="C78" i="2"/>
  <c r="C77" i="2"/>
  <c r="C76" i="2"/>
  <c r="C75" i="2"/>
  <c r="C74" i="2"/>
  <c r="C73" i="2"/>
  <c r="C72" i="2"/>
  <c r="C71" i="2"/>
  <c r="C70" i="2"/>
  <c r="C69" i="2"/>
  <c r="C68" i="2"/>
  <c r="C67" i="2"/>
  <c r="C65" i="2"/>
  <c r="C64" i="2"/>
  <c r="C63" i="2"/>
  <c r="C62" i="2"/>
  <c r="C61" i="2"/>
  <c r="C60" i="2"/>
  <c r="C59" i="2"/>
  <c r="C57" i="2"/>
  <c r="C56" i="2"/>
  <c r="C55" i="2"/>
  <c r="C54" i="2"/>
  <c r="C52" i="2"/>
  <c r="C51" i="2"/>
  <c r="C50" i="2"/>
  <c r="C49" i="2"/>
  <c r="C48" i="2"/>
  <c r="C47" i="2"/>
  <c r="C46" i="2"/>
  <c r="J45" i="2"/>
  <c r="C27" i="2"/>
  <c r="C26" i="2"/>
  <c r="C25" i="2"/>
  <c r="C24" i="2"/>
  <c r="C21" i="2"/>
  <c r="C20" i="2"/>
  <c r="C19" i="2"/>
  <c r="C12" i="2"/>
  <c r="J99" i="1"/>
  <c r="F82" i="1"/>
  <c r="G82" i="1"/>
  <c r="E82" i="1"/>
  <c r="J115" i="1"/>
  <c r="J103" i="1"/>
  <c r="J102" i="1"/>
  <c r="J101" i="1"/>
  <c r="J100" i="1"/>
  <c r="J98" i="1"/>
  <c r="J97" i="1"/>
  <c r="J96" i="1"/>
  <c r="J91" i="1"/>
  <c r="E128" i="3" l="1"/>
  <c r="N37" i="3"/>
  <c r="B128" i="3"/>
  <c r="N126" i="3"/>
  <c r="M128" i="3"/>
  <c r="J108" i="1"/>
  <c r="J111" i="1" s="1"/>
  <c r="J116" i="1" s="1"/>
  <c r="J117" i="1" s="1"/>
  <c r="N128" i="3" l="1"/>
  <c r="J112" i="1"/>
</calcChain>
</file>

<file path=xl/sharedStrings.xml><?xml version="1.0" encoding="utf-8"?>
<sst xmlns="http://schemas.openxmlformats.org/spreadsheetml/2006/main" count="887" uniqueCount="486">
  <si>
    <t>General Ledger Detail</t>
  </si>
  <si>
    <t>Chiseldon Parish Council</t>
  </si>
  <si>
    <t>For the period 1 May 2025 to 31 May 2025</t>
  </si>
  <si>
    <t>Account Code</t>
  </si>
  <si>
    <t>Account</t>
  </si>
  <si>
    <t>Date</t>
  </si>
  <si>
    <t>Description</t>
  </si>
  <si>
    <t>Reference</t>
  </si>
  <si>
    <t>Gross</t>
  </si>
  <si>
    <t>VAT</t>
  </si>
  <si>
    <t>Net</t>
  </si>
  <si>
    <t>VAT Rate</t>
  </si>
  <si>
    <t>VAT Rate Name</t>
  </si>
  <si>
    <t>Capital Expenditure</t>
  </si>
  <si>
    <t>211</t>
  </si>
  <si>
    <t>Recreation: Football Pitch hire income</t>
  </si>
  <si>
    <t>No VAT</t>
  </si>
  <si>
    <t>000000</t>
  </si>
  <si>
    <t>CCLA Investment Account</t>
  </si>
  <si>
    <t>270</t>
  </si>
  <si>
    <t>Interest Income</t>
  </si>
  <si>
    <t>CCLA - Monthly income reinvestment</t>
  </si>
  <si>
    <t>202</t>
  </si>
  <si>
    <t>Environment:Cemetery income</t>
  </si>
  <si>
    <t>Exempt Income</t>
  </si>
  <si>
    <t>Burial costs for cremated remains in plot C149, at SHCMG</t>
  </si>
  <si>
    <t>236</t>
  </si>
  <si>
    <t>Neighbourhood Plan Grant Income</t>
  </si>
  <si>
    <t>509</t>
  </si>
  <si>
    <t>Finance: Staff only expenses</t>
  </si>
  <si>
    <t>366</t>
  </si>
  <si>
    <t>EGPA: Misc Expenditure</t>
  </si>
  <si>
    <t>20% (VAT on Income)</t>
  </si>
  <si>
    <t>324</t>
  </si>
  <si>
    <t>Christmas Tree Elec Supply</t>
  </si>
  <si>
    <t>Christmas tree elec standing charge</t>
  </si>
  <si>
    <t>5% (VAT on Expenses)</t>
  </si>
  <si>
    <t>504</t>
  </si>
  <si>
    <t>Finance: Telephone and Broadband</t>
  </si>
  <si>
    <t>20% (VAT on Expenses)</t>
  </si>
  <si>
    <t>Placement of a burial Memorial Stone, plot N180 at SHCMG</t>
  </si>
  <si>
    <t>364</t>
  </si>
  <si>
    <t>EGPA - Village Planter costs</t>
  </si>
  <si>
    <t>508</t>
  </si>
  <si>
    <t>Finance: Website, Marketing, flyers &amp; leaflets, advertisements</t>
  </si>
  <si>
    <t>368</t>
  </si>
  <si>
    <t>EGPA - Costs of bin maintenance/replacement</t>
  </si>
  <si>
    <t>330</t>
  </si>
  <si>
    <t>Recreation: Grounds Maintenance</t>
  </si>
  <si>
    <t>337</t>
  </si>
  <si>
    <t>Recreation - CVPA Repair costs</t>
  </si>
  <si>
    <t>228</t>
  </si>
  <si>
    <t>Expenditure of Parish Council grant fund</t>
  </si>
  <si>
    <t>S137</t>
  </si>
  <si>
    <t>351</t>
  </si>
  <si>
    <t>Environment: Hedge Trimming and Grass cutting</t>
  </si>
  <si>
    <t>352</t>
  </si>
  <si>
    <t>Environment: Dog and Litter bins</t>
  </si>
  <si>
    <t>326</t>
  </si>
  <si>
    <t>Recreation: Building Maintenance</t>
  </si>
  <si>
    <t>329</t>
  </si>
  <si>
    <t>Recreation: Waste Collection</t>
  </si>
  <si>
    <t>361</t>
  </si>
  <si>
    <t>Environment:Litter Picking</t>
  </si>
  <si>
    <t>357</t>
  </si>
  <si>
    <t>Environment: Cemetery Maintenance</t>
  </si>
  <si>
    <t>331</t>
  </si>
  <si>
    <t>Recreation: CVPA general Maintenance</t>
  </si>
  <si>
    <t>360</t>
  </si>
  <si>
    <t>Environment: General Maintenance</t>
  </si>
  <si>
    <t>365</t>
  </si>
  <si>
    <t>EGPA Allotments - costs</t>
  </si>
  <si>
    <t>511</t>
  </si>
  <si>
    <t>Finance: Professional Fees</t>
  </si>
  <si>
    <t>512</t>
  </si>
  <si>
    <t>Finance: IT - PC, virus, email, domain name &amp; Xero</t>
  </si>
  <si>
    <t>333</t>
  </si>
  <si>
    <t>Recreation: Gas and Electricity - Rec Hall &amp; Pavillion</t>
  </si>
  <si>
    <t>EDF Rec hall monthly elec DD</t>
  </si>
  <si>
    <t>EDF Rec Ground monthly elec DD</t>
  </si>
  <si>
    <t>502</t>
  </si>
  <si>
    <t>Finance: Misc expenses (costs)</t>
  </si>
  <si>
    <t>Bank Transfer from CCLA Investment Account to Business Current Account (Unity)</t>
  </si>
  <si>
    <t>367</t>
  </si>
  <si>
    <t>EGPA - STORM costs</t>
  </si>
  <si>
    <t>353</t>
  </si>
  <si>
    <t>Environment: Gas and Electricity - Chapel</t>
  </si>
  <si>
    <t>EDF Chapel monthly elec DD</t>
  </si>
  <si>
    <t>334</t>
  </si>
  <si>
    <t>Recreation: Water</t>
  </si>
  <si>
    <t>Rec ground water</t>
  </si>
  <si>
    <t>210</t>
  </si>
  <si>
    <t>Recreation:Hall Hire income</t>
  </si>
  <si>
    <t>363</t>
  </si>
  <si>
    <t>Environment - Water Supply</t>
  </si>
  <si>
    <t>Chapel water</t>
  </si>
  <si>
    <t>858</t>
  </si>
  <si>
    <t>Pensions Payable</t>
  </si>
  <si>
    <t>372</t>
  </si>
  <si>
    <t>EGPA Tree Trimming</t>
  </si>
  <si>
    <t>335</t>
  </si>
  <si>
    <t>Recreation: Youth services</t>
  </si>
  <si>
    <t>May half term tennis sessions</t>
  </si>
  <si>
    <t>Xero monthly fees</t>
  </si>
  <si>
    <t>Phone and Broadband</t>
  </si>
  <si>
    <t>Monthly website fees</t>
  </si>
  <si>
    <t>814</t>
  </si>
  <si>
    <t>Wages Payable - Payroll</t>
  </si>
  <si>
    <t>825</t>
  </si>
  <si>
    <t>PAYE &amp; NI Payable (HMRC)</t>
  </si>
  <si>
    <t>Service Charge - Unity monthly service charge</t>
  </si>
  <si>
    <t>Service Charge - Transaction charges</t>
  </si>
  <si>
    <t>Total</t>
  </si>
  <si>
    <t>Chiseldon football Club - Senior football pitch hire per game April</t>
  </si>
  <si>
    <t>Burial costs plot N127 at SHCMG</t>
  </si>
  <si>
    <t>Groundwork UK - Unspent NHP grant funds returned as per grant conditions</t>
  </si>
  <si>
    <t>Clerk April expenses. Mileage from Avebury to Chiseldon and return for the annual litter pick. 16 miles</t>
  </si>
  <si>
    <t>Clerk April expenses. Milk for litter pick</t>
  </si>
  <si>
    <t>Addition to Memorial stone for plot C37 SHCMG</t>
  </si>
  <si>
    <t>Burial costs for the cremated remains plot C37 SHCMG</t>
  </si>
  <si>
    <t>Viop Bronze</t>
  </si>
  <si>
    <t>Text/call charges as per attached itemised statement</t>
  </si>
  <si>
    <t>Pre -purchase of burial plot N168 in the Sir Henry Calley Memorial Garden. Invoice 3 of 6.</t>
  </si>
  <si>
    <t>Sanders Web Works - Website search software annual license fee</t>
  </si>
  <si>
    <t>April Handyman Hours: Replaced planter on New Road at the garage</t>
  </si>
  <si>
    <t>April Handyman Expenses. Northpine boards for New Road planter (x4)</t>
  </si>
  <si>
    <t>April Handyman Expenses. Heavy duty landscape fabric for New Road Planter</t>
  </si>
  <si>
    <t>April Handyman Expenses. Peat free compost for planters</t>
  </si>
  <si>
    <t>April Handyman Hours: Measured parking area and calculated parking spaces available. Cut grass verges at the Rec carpark and road x3</t>
  </si>
  <si>
    <t>April Handyman Hours: CVPA. Checked stopper on gates. Carried out checks and removed graffiti. Collected soil and filled hole on CVPA green by goal.</t>
  </si>
  <si>
    <t>April Handyman Hours: Cut grass at the allotment path and verge on New Rd x2. Strimmed around Hodson speed sign planter and Bus Shelter. Strimmed around planters at Draycot Foliat.</t>
  </si>
  <si>
    <t>April Handyman Hours: Repaired garage door. Secured kitchen before event, packed away tables and chairs. Checked hall after event, unlocked kitchen and repaired flush in ladies toilet. Install new WiFi router.</t>
  </si>
  <si>
    <t>April Handyman Expenses. Carriage bolt nut and washer for garage door repair</t>
  </si>
  <si>
    <t>April Handyman Expenses. Combined cistern lever kit for rec hall ladies toilet</t>
  </si>
  <si>
    <t xml:space="preserve">April Handyman Hours: Cleaned path behind the Chapel in Butts Rd Cemetery </t>
  </si>
  <si>
    <t>April Handyman Hours: Turned on water and fixed leak at the allotments</t>
  </si>
  <si>
    <t>Allbuild - New litter bin purchased for the cycle track</t>
  </si>
  <si>
    <t>Allbuild - Path to Rec ground from Hodson Rd grass cutting</t>
  </si>
  <si>
    <t>Allbuild - Rec field grass cutting</t>
  </si>
  <si>
    <t>Chiseldon Primary - Early Years Train Grant</t>
  </si>
  <si>
    <t>Allbuild - Around the parish grass cutting</t>
  </si>
  <si>
    <t>Allbuild - Waste litter bins</t>
  </si>
  <si>
    <t>Allbuild - Dog waste bins</t>
  </si>
  <si>
    <t>Allbuild - Collection of waste from bins at Rec Grounds</t>
  </si>
  <si>
    <t>Allbuild - Litter picking within parish</t>
  </si>
  <si>
    <t>Allbuild - Cemeteries grass cutting</t>
  </si>
  <si>
    <t>Allbuild - Castle View play area grass cutting</t>
  </si>
  <si>
    <t>Unity CC April. Unity Multipay card fee</t>
  </si>
  <si>
    <t>Unity CC April. D-Link router for the rec hall wifi</t>
  </si>
  <si>
    <t>Unity CC April. Dell onsite support to fix clerk's laptop after remote diagnosis</t>
  </si>
  <si>
    <t>Unity CC April. Giff Gaff monthly fee for Rec hall wifi</t>
  </si>
  <si>
    <t>Unity CC April. Chiseldon House Hotel. Tea &amp; coffee for 15 people @ £3.95 p/p at the annual meetings</t>
  </si>
  <si>
    <t>Unity CC April. Orchard Press. Cemetery maps updated</t>
  </si>
  <si>
    <t>Purchase of Burial Plot N139 in Sir Henry Calley Memorial Garden</t>
  </si>
  <si>
    <t>Burial costs plot N139 SHCMG</t>
  </si>
  <si>
    <t>Pre -purchase of burial plot N148 in Sir Henry Calley Memorial graveyard</t>
  </si>
  <si>
    <t>StormFacilitesMana - PPM service April</t>
  </si>
  <si>
    <t>Rec Hall day time hourly rate for 1st June 10-12</t>
  </si>
  <si>
    <t>Pension contribution CPC % staff Nest Pensions</t>
  </si>
  <si>
    <t>Staff payment Nest Pensions</t>
  </si>
  <si>
    <t>WottonTreeConsulta - Tree condition survey Butts Rd Cemetery</t>
  </si>
  <si>
    <t>WottonTreeConsulta - Tree condition survey SHCMG</t>
  </si>
  <si>
    <t>WottonTreeConsulta - Tree condition survey Rec Ground</t>
  </si>
  <si>
    <t>WottonTreeConsulta - Tree condition survey Millennium Copse &amp; Allotments</t>
  </si>
  <si>
    <t>HMRC Cumbernauld - May PAYE tax</t>
  </si>
  <si>
    <t>507</t>
  </si>
  <si>
    <t>Finance: Staff salary only</t>
  </si>
  <si>
    <t>482</t>
  </si>
  <si>
    <t>Pensions Costs</t>
  </si>
  <si>
    <t>Wages journal (Total to HMRC)</t>
  </si>
  <si>
    <t>Wages journal (Net Salary)</t>
  </si>
  <si>
    <t>Wages journal (Total Pension Payments Ers &amp; Ees)</t>
  </si>
  <si>
    <t>Wages journal (Gross Salary)</t>
  </si>
  <si>
    <t>Wages journal (Employer NI)</t>
  </si>
  <si>
    <t>Wages journal (Employers Pension payments)</t>
  </si>
  <si>
    <t>*Please email the RFO if Cllrs would like to see any or all invoices related to this month</t>
  </si>
  <si>
    <t>Please note this report is accruals basis and shows CPC invoices that have been sent but may not have been paid yet</t>
  </si>
  <si>
    <t>Income (or refund, discount, deposits etc)</t>
  </si>
  <si>
    <t>From Allocated Reserve Funds</t>
  </si>
  <si>
    <t>Manual Journals</t>
  </si>
  <si>
    <t>From CPC grant fund</t>
  </si>
  <si>
    <t>From Unallocated Reserve Funds</t>
  </si>
  <si>
    <t>Hire of Marquee and Donations to Wiltshire Air Ambulance</t>
  </si>
  <si>
    <t>Internal Bank Transfers</t>
  </si>
  <si>
    <t xml:space="preserve"> </t>
  </si>
  <si>
    <t>Of which:</t>
  </si>
  <si>
    <t>Allocated Reserves</t>
  </si>
  <si>
    <t>See audit trail tab for more info</t>
  </si>
  <si>
    <t>A</t>
  </si>
  <si>
    <t>Recreation Hall Replacement</t>
  </si>
  <si>
    <t>Add £10k transfer in from 2025-26 budget</t>
  </si>
  <si>
    <t>B</t>
  </si>
  <si>
    <t>Draycot Foliat Parking</t>
  </si>
  <si>
    <t>C</t>
  </si>
  <si>
    <t>Windmill Piece Parking</t>
  </si>
  <si>
    <t>D</t>
  </si>
  <si>
    <t>Neighbourhood Plan CPC Funds</t>
  </si>
  <si>
    <t>No change</t>
  </si>
  <si>
    <t>E</t>
  </si>
  <si>
    <t>Neighbourhood Plan Groundwork Grant</t>
  </si>
  <si>
    <t>Minus £1,464.14 Andrea Pellegram consultancy fee paid on 31st March</t>
  </si>
  <si>
    <t>F</t>
  </si>
  <si>
    <t>Planning - New SID</t>
  </si>
  <si>
    <t>G</t>
  </si>
  <si>
    <t>Chapel Windows Refurb</t>
  </si>
  <si>
    <t>Add £1k transfer in from 2025-26 budget</t>
  </si>
  <si>
    <t>H</t>
  </si>
  <si>
    <t>Allotment Deposits</t>
  </si>
  <si>
    <t>Plus deposit for plot 11B</t>
  </si>
  <si>
    <t>I</t>
  </si>
  <si>
    <t>CIL Funds</t>
  </si>
  <si>
    <t>J</t>
  </si>
  <si>
    <t>Future Cemetery Maintenance</t>
  </si>
  <si>
    <t>K</t>
  </si>
  <si>
    <t>TRO Application (Hodson Road speed limit lowered from 50mph)</t>
  </si>
  <si>
    <t>Add £3k transfer in from 2025-26 budget</t>
  </si>
  <si>
    <t>L</t>
  </si>
  <si>
    <t>Funds for weight limit change on New Road</t>
  </si>
  <si>
    <t>M</t>
  </si>
  <si>
    <t>All Legal Fees</t>
  </si>
  <si>
    <t>Add £2k transfer in from 2025-26 budget</t>
  </si>
  <si>
    <t>Allocated Reserves Subtotal</t>
  </si>
  <si>
    <t>A+B+C+D+E+F+G+H+I+J+K+L</t>
  </si>
  <si>
    <t>Rest of Q1 &amp; Q2 Expenses</t>
  </si>
  <si>
    <t>(2024-25 expenses budget remaining months)</t>
  </si>
  <si>
    <t>Unallocated Reserves</t>
  </si>
  <si>
    <t>(1-2-3). Total funds minus allocated reserves and rest of precepted period expenses budget. Should not fall below 50% of annual expenses budget (£79,909).</t>
  </si>
  <si>
    <t>Total Reserves</t>
  </si>
  <si>
    <t>2+4</t>
  </si>
  <si>
    <t>Of Unallocated Reserves:</t>
  </si>
  <si>
    <t>Funds to cover precept non payment:</t>
  </si>
  <si>
    <t>(50% of 2024-25 Budgeted Expenses. Funds required to be held in the event of Swindon Borough Council being unable to pay the precept)</t>
  </si>
  <si>
    <t>Contingency Reserves:</t>
  </si>
  <si>
    <t>Note: The full year 2025-26 budget transfers to Allocated Reserves (£29k) were added in to April. The second precept payment in Septemeber will cover 50% of these (£14.5k)</t>
  </si>
  <si>
    <t>Underlying Contingency Reserves:</t>
  </si>
  <si>
    <t>(Less £14.5k linked to Q3 &amp; Q4 precept due in September)</t>
  </si>
  <si>
    <t>Invoices over £500 or annual contracts over £5,000 per year</t>
  </si>
  <si>
    <t>Committee</t>
  </si>
  <si>
    <t>Beneficiary</t>
  </si>
  <si>
    <t>ü</t>
  </si>
  <si>
    <t>EGPA</t>
  </si>
  <si>
    <t>Finance</t>
  </si>
  <si>
    <t>Handyman</t>
  </si>
  <si>
    <t>Allbuild</t>
  </si>
  <si>
    <t>HMRC</t>
  </si>
  <si>
    <t>Staff</t>
  </si>
  <si>
    <t>May Staff salaries</t>
  </si>
  <si>
    <t>Chiseldon Primary School</t>
  </si>
  <si>
    <t>Wotton Tree Consultancy</t>
  </si>
  <si>
    <t>Minus £202.96 grant funds returned to Groundwork UK at Year End 2024-25 as per grant conditions</t>
  </si>
  <si>
    <t>April 2022-23</t>
  </si>
  <si>
    <t>Amount</t>
  </si>
  <si>
    <t>Recreation Ground Drainage</t>
  </si>
  <si>
    <t>2023/24 Budget</t>
  </si>
  <si>
    <t>2023/24 Budget minus spend since budget set and residual funds transferred back to Groundwork UK as per grant conditions</t>
  </si>
  <si>
    <t>BMX/Pump Track</t>
  </si>
  <si>
    <t>CVPA Fund - Skate Park</t>
  </si>
  <si>
    <t>CVPA Fund - Muga Goals</t>
  </si>
  <si>
    <t>A+B+C+D+E+F+G+H+I+J</t>
  </si>
  <si>
    <t>2023-24</t>
  </si>
  <si>
    <t>May</t>
  </si>
  <si>
    <t>Minus £256.66 see NHP tab</t>
  </si>
  <si>
    <t>June</t>
  </si>
  <si>
    <t>Minus £824.63 for Andrea Pellegram technical support (gap in funding)</t>
  </si>
  <si>
    <t>July</t>
  </si>
  <si>
    <t>August</t>
  </si>
  <si>
    <t>September</t>
  </si>
  <si>
    <t>Minus £1,630 for NHP data Search, GIS data prep and mapping. Andrea Pellegram NHP consultancy fees Apr-Aug from CPC own funds.</t>
  </si>
  <si>
    <t>Virement approved at March finance meeting, +£3.7k</t>
  </si>
  <si>
    <t>£500 virement approved Nov'22 finance meeting, + £1k virement of 2023-24 budget to reserves</t>
  </si>
  <si>
    <t>October</t>
  </si>
  <si>
    <t>Minus £320 for the annual survey monkey subs</t>
  </si>
  <si>
    <t>November</t>
  </si>
  <si>
    <t>Add line for allotment deposits</t>
  </si>
  <si>
    <t>Add line for new CIL funds 2021-24</t>
  </si>
  <si>
    <t>December</t>
  </si>
  <si>
    <t>Add £50 deposit for plot 1A</t>
  </si>
  <si>
    <t>January</t>
  </si>
  <si>
    <t>Minus £321 for leaflet/survey printing and website additions, see NHP CPC tab</t>
  </si>
  <si>
    <t>Minus £1,407.96 for consultancy fees and leaflet printing, see NHP Grantwork grant tab</t>
  </si>
  <si>
    <t>Add £100 for 2 allotment deposits, plots 13B &amp; 11A</t>
  </si>
  <si>
    <t>Virements approved at January's Finance meeting:</t>
  </si>
  <si>
    <t xml:space="preserve">Add total £22,972.81 virement to the Rec Ground improvement project from Bank Interest Income, Rec Ground Drainage, BMX/Pump track, Skate Park &amp; remaining Castle View Rd verge protection projects  (approved at January finance meeting) </t>
  </si>
  <si>
    <t>Status</t>
  </si>
  <si>
    <t>COMPLETED JANUARY</t>
  </si>
  <si>
    <t>COMPLETED MAY</t>
  </si>
  <si>
    <t>COMPLETED MAY, finance committee members confirmed by email option 1 ok</t>
  </si>
  <si>
    <t>Total virements</t>
  </si>
  <si>
    <t>February</t>
  </si>
  <si>
    <t>Minus £13 land Registry fee for Rec Field area title plan</t>
  </si>
  <si>
    <t>Minus £190 for handyman delivering NHP leaflets/posters around parish</t>
  </si>
  <si>
    <t>Add £50 for plot 10A allotment deposit</t>
  </si>
  <si>
    <t>March</t>
  </si>
  <si>
    <t>Minus £3 for land registry fee searches for Rec Field area title plan</t>
  </si>
  <si>
    <t>Minus £100 for handyman delivering NHP leaflets/posters around parish and collected/delivered paper surveys</t>
  </si>
  <si>
    <t>Minus £1926.50 to Andrea Pellegram, to collate responses to Reg. 14. Analyse responses and provide advice to parish council. Consideration of parish council views. Preparation of Basic Conditions Statement and Consultation Statement.</t>
  </si>
  <si>
    <t>Minus £100 for deposit refunds to 13B &amp; 10B</t>
  </si>
  <si>
    <t>2024-25</t>
  </si>
  <si>
    <t>April</t>
  </si>
  <si>
    <t xml:space="preserve">Minus £350 for Verti Quake on senior pitch </t>
  </si>
  <si>
    <t>Minus £108 for Traffic survey at Draycot Foliat</t>
  </si>
  <si>
    <t>Add excess £156 NHP survey costs Groundwork UK agreed to cover</t>
  </si>
  <si>
    <t>Minus excess £156 NHP survey costs Groundwork UK agreed to cover &amp; £858.54 for unused NHP grant, returned to Groundwork UK</t>
  </si>
  <si>
    <t>Add £3,555.91 net annual cemetery income (cemetery income minus cemetery cost)</t>
  </si>
  <si>
    <t>Add £10,255 remaining Muga allocated costs after CVPA goals purchase</t>
  </si>
  <si>
    <t>Minus £1,745 for new CVPA goals installation and minus £10,255 remaining funds, virement to Rec Hall Replacement</t>
  </si>
  <si>
    <t>Add £50 deposit plot 3B and add £50 linked to reconciliation with deposits held record</t>
  </si>
  <si>
    <t>Minus £300 New drawings of the Rec land purchase with precise scales and measurements</t>
  </si>
  <si>
    <t>Minus £50 for the new SID licence</t>
  </si>
  <si>
    <t>Add £12.0k transfer from 2024-25 budget (£10k for project plus £2k for further architect work on the rec hall plan)</t>
  </si>
  <si>
    <t>EGPA windows refurb</t>
  </si>
  <si>
    <t>Add £1.0k transfer from 2024-25 budget</t>
  </si>
  <si>
    <t>EGPA Bell Tower</t>
  </si>
  <si>
    <t>Add £3.5k transfer from 2024-25 budget</t>
  </si>
  <si>
    <t>Minus £966 for WP ground radar</t>
  </si>
  <si>
    <t>Add Groundwork grant for the NHP £3090, minus £1,422.90 for Andrea Pellagram July consultancy work.</t>
  </si>
  <si>
    <t>Minus £320 for annual survey monkey subs</t>
  </si>
  <si>
    <t>Minus £4,035 for new SID, delivery and installation</t>
  </si>
  <si>
    <t>Retrospective adjustments to balance to CIL report. Add £0.70 carried forward from prioir year. Minus £1,216.74 for CPC CIL funds used for the Hodson defib, purchased in Nov 2023</t>
  </si>
  <si>
    <t>Minus £1,800 for repair work</t>
  </si>
  <si>
    <t>Minus £1,095 for Draycot Close safety audit</t>
  </si>
  <si>
    <t>Add £8,387.78 to rec hall project for bank interest received between  Jan-Sept 2024</t>
  </si>
  <si>
    <t>Minus £650 to Verti Quake whole field</t>
  </si>
  <si>
    <t>INTEREST PAID AFTER TAX 0.00 DEDUCTED Bank Interest - Interest April</t>
  </si>
  <si>
    <t>Add £320 survey monkey costs, not in this years grant funds</t>
  </si>
  <si>
    <t>INTEREST PAID AFTER TAX 0.00 DEDUCTED Bank Interest - Interest May</t>
  </si>
  <si>
    <t>Minus £50 to move SID solar panel</t>
  </si>
  <si>
    <t>INTEREST PAID AFTER TAX 0.00 DEDUCTED Bank Interest - Interest June</t>
  </si>
  <si>
    <t>Minus £1,700 - Finance Committee approved transfer to unallocated reserves</t>
  </si>
  <si>
    <t>INTEREST PAID AFTER TAX 0.00 DEDUCTED Bank Interest - Interest July</t>
  </si>
  <si>
    <t>Minus £62.50 for 2 new SID batteries</t>
  </si>
  <si>
    <t>INTEREST PAID AFTER TAX 0.00 DEDUCTED Santander - Interest July</t>
  </si>
  <si>
    <t>Balance updated to reflect the latest CIL Report (2023-24)</t>
  </si>
  <si>
    <t>Bank Interest - Quarterly interest</t>
  </si>
  <si>
    <t>Add £3,064.31 interest income received Oct 24-Jan 25</t>
  </si>
  <si>
    <t>Add £1,172.24 interest income received Feb 2025</t>
  </si>
  <si>
    <t>add £50 deposit for plot 3A</t>
  </si>
  <si>
    <t>2025-26</t>
  </si>
  <si>
    <t>Added in Oct 2024</t>
  </si>
  <si>
    <t>Transfers to Reserves</t>
  </si>
  <si>
    <t>TFR IN: Bank interest moved to Rec Hall Replacement Allocated Reserve</t>
  </si>
  <si>
    <t>TFR IN: Rec Hall Replacement Allocated Reserve</t>
  </si>
  <si>
    <t>TFR IN: Planning: Funds to apply for a TRO and additional works to have the speed limit on the Hodson Road between Hodson and Burderop T junction lowered from 50mph – amount not specified.</t>
  </si>
  <si>
    <t>TFR IN: Planning: Funds to enact the change in weight limit on New Road – if SBC will not do the work but are willing for CPC to fund the work – amount not specified</t>
  </si>
  <si>
    <t>TFR IN: Planning: Top up the planning committee fund for the works at DF and Windmill Piece for new layby/parking works.</t>
  </si>
  <si>
    <t>Add £5k transfer in to both DF and Windmill Piece layby/parking works from 2025-26 budget</t>
  </si>
  <si>
    <t>Total Interest Income</t>
  </si>
  <si>
    <t>Added Jan 2025</t>
  </si>
  <si>
    <t>TFR IN: Finance: All legal fees £2k - allocated reserve rather than a budget item</t>
  </si>
  <si>
    <t xml:space="preserve">TFR IN: EGPA: Chapel window refurb </t>
  </si>
  <si>
    <t>Total additions to allocated reserves from 2025-26 budget</t>
  </si>
  <si>
    <t>S137 spend for Allbuild high vis</t>
  </si>
  <si>
    <t>Overall Budget</t>
  </si>
  <si>
    <t>April 2025 to March 2026</t>
  </si>
  <si>
    <t>Income</t>
  </si>
  <si>
    <t>Finance:Precept (220)</t>
  </si>
  <si>
    <t>Charity income for hiring of Marquee (234)</t>
  </si>
  <si>
    <t>CIL recieved from SBC (348)</t>
  </si>
  <si>
    <t>EGPA - Allotment deposits (204)</t>
  </si>
  <si>
    <t>Environment: Allotments income (201)</t>
  </si>
  <si>
    <t>Environment:Cemetery income (202)</t>
  </si>
  <si>
    <t>Environment:Misc Income (203)</t>
  </si>
  <si>
    <t>Finance - Parish Chapel Room hire income (225)</t>
  </si>
  <si>
    <t>Finance - VAT reclaimed (224)</t>
  </si>
  <si>
    <t>Finance: CTSG (221)</t>
  </si>
  <si>
    <t>Finance:Misc Income (223)</t>
  </si>
  <si>
    <t>Finance:Parishing Top Up (222)</t>
  </si>
  <si>
    <t>Fund raising received for CVPA repairs/improvements (215)</t>
  </si>
  <si>
    <t>Income accounts for donations received (227)</t>
  </si>
  <si>
    <t>Income for Queen's Jubilee Event 2022 (230)</t>
  </si>
  <si>
    <t>Income to be spent on Covid19 provisions (233)</t>
  </si>
  <si>
    <t>Interest Income (270)</t>
  </si>
  <si>
    <t>Marquee Hire Admin Income (238)</t>
  </si>
  <si>
    <t>Other Revenue (260)</t>
  </si>
  <si>
    <t>Rec Hall ground hire - not pitches (216)</t>
  </si>
  <si>
    <t>Recreation: Football Pitch hire income (211)</t>
  </si>
  <si>
    <t>Recreation: Rec field hire income (217)</t>
  </si>
  <si>
    <t>Recreation:Hall Hire income (210)</t>
  </si>
  <si>
    <t>Recreation:Softball pitch hire income (212)</t>
  </si>
  <si>
    <t>Recreation:Thames Water refund (213)</t>
  </si>
  <si>
    <t>Revenue from Grant fund -  income (226)</t>
  </si>
  <si>
    <t>Tennis Club Yearly rent (214)</t>
  </si>
  <si>
    <t>Total Income</t>
  </si>
  <si>
    <t>Gross Profit</t>
  </si>
  <si>
    <t>Other Income</t>
  </si>
  <si>
    <t>King's Coronation Event Income (205)</t>
  </si>
  <si>
    <t>Neighbourhood Plan Grant Income (236)</t>
  </si>
  <si>
    <t>Total Other Income</t>
  </si>
  <si>
    <t>Less Overheads</t>
  </si>
  <si>
    <t>AED Maintenance costs (516)</t>
  </si>
  <si>
    <t>Christmas Tree Elec Supply (324)</t>
  </si>
  <si>
    <t>Contractors costs - fuel, mileage etc (521)</t>
  </si>
  <si>
    <t>Councillor only expenses - mileage etc (518)</t>
  </si>
  <si>
    <t>Donation from Marquee Hire to Wiltshire Air Ambulance (235)</t>
  </si>
  <si>
    <t>EGPA - Annual gym maintenance package (371)</t>
  </si>
  <si>
    <t>EGPA - Costs of bin maintenance/replacement (368)</t>
  </si>
  <si>
    <t>EGPA - Parish Cleaning, Road Sweeper etc (374)</t>
  </si>
  <si>
    <t>EGPA - purchase of leisure equipment (370)</t>
  </si>
  <si>
    <t>EGPA - STORM costs (367)</t>
  </si>
  <si>
    <t>EGPA - Village Planter costs (364)</t>
  </si>
  <si>
    <t>EGPA Allotments - costs (365)</t>
  </si>
  <si>
    <t>EGPA Tree Trimming (372)</t>
  </si>
  <si>
    <t>EGPA: Misc Expenditure (366)</t>
  </si>
  <si>
    <t>EGPA: Probation Service (369)</t>
  </si>
  <si>
    <t>Environment - Water Supply (363)</t>
  </si>
  <si>
    <t>Environment: Building Maintenance (354)</t>
  </si>
  <si>
    <t>Environment: Cemetery Maintenance (357)</t>
  </si>
  <si>
    <t>Environment: Cleaning (356)</t>
  </si>
  <si>
    <t>Environment: Dog and Litter bins (352)</t>
  </si>
  <si>
    <t>Environment: Fly tipping (362)</t>
  </si>
  <si>
    <t>Environment: Gas and Electricity - Chapel (353)</t>
  </si>
  <si>
    <t>Environment: General Maintenance (360)</t>
  </si>
  <si>
    <t>Environment: Handyman Equipment Hire (373)</t>
  </si>
  <si>
    <t>Environment: Hedge Trimming and Grass cutting (351)</t>
  </si>
  <si>
    <t>Environment: Insurance (359)</t>
  </si>
  <si>
    <t>Environment: Signage (358)</t>
  </si>
  <si>
    <t>Environment: WARP (350)</t>
  </si>
  <si>
    <t>Environment: Waste Disposal (355)</t>
  </si>
  <si>
    <t>Environment:Litter Picking (361)</t>
  </si>
  <si>
    <t>Expenditure from funds given as donations for events (231)</t>
  </si>
  <si>
    <t>Expenditure of Parish Council grant fund (228)</t>
  </si>
  <si>
    <t>Expenditure of SSE &amp; other Covid19 grant funds (232)</t>
  </si>
  <si>
    <t>Finance - Costs for temp/agency staff (519)</t>
  </si>
  <si>
    <t>Finance expenditure of grant funds held for Football club (515)</t>
  </si>
  <si>
    <t>Finance: Charitable Donations to other organisations (510)</t>
  </si>
  <si>
    <t>Finance: Courses and Training (501)</t>
  </si>
  <si>
    <t>Finance: Entertaining (506)</t>
  </si>
  <si>
    <t>Finance: General Legal Fees (523)</t>
  </si>
  <si>
    <t>Finance: IT - PC, virus, email, domain name &amp; Xero (512)</t>
  </si>
  <si>
    <t>Finance: Misc expenses (costs) (502)</t>
  </si>
  <si>
    <t>Finance: Other (513)</t>
  </si>
  <si>
    <t>Finance: Professional Fees (511)</t>
  </si>
  <si>
    <t>Finance: Staff only expenses (509)</t>
  </si>
  <si>
    <t>Finance: Staff salary only (507)</t>
  </si>
  <si>
    <t>Finance: Stationery (505)</t>
  </si>
  <si>
    <t>Finance: Telephone and Broadband (504)</t>
  </si>
  <si>
    <t>Finance: Website, Marketing, flyers &amp; leaflets, advertisements (508)</t>
  </si>
  <si>
    <t>Grant Expenditure from Memory Cafe Grant (520)</t>
  </si>
  <si>
    <t>Insurance costs to Finance Committee (517)</t>
  </si>
  <si>
    <t>Kings Coronation Event 2023 (237)</t>
  </si>
  <si>
    <t>Marquee Hire Admin Charge (239)</t>
  </si>
  <si>
    <t>Memberships and Subscriptions (522)</t>
  </si>
  <si>
    <t>NOT IN USE Finance: Gas and Electricity (503)</t>
  </si>
  <si>
    <t>Pensions Costs (482)</t>
  </si>
  <si>
    <t>Planning - Misc Costs (349)</t>
  </si>
  <si>
    <t>Planning. SIDS signage expenditure. (342)</t>
  </si>
  <si>
    <t>Planning: Neighbourhood Plan CPC Funds (345)</t>
  </si>
  <si>
    <t>Planning: Neighbourhood Plan Grant Expenditure (341)</t>
  </si>
  <si>
    <t>Planning: Parking &amp; Traffic solutions (340)</t>
  </si>
  <si>
    <t>Planning: Planning and Legal Consultants Expenditure (344)</t>
  </si>
  <si>
    <t>Planning: Solar Lighting (343)</t>
  </si>
  <si>
    <t>Queen's Jubilee Expenditure 2022 (229)</t>
  </si>
  <si>
    <t>Rec Ground Improvement (450)</t>
  </si>
  <si>
    <t>Recreation - CVPA inspections (338)</t>
  </si>
  <si>
    <t>Recreation - CVPA Repair costs (337)</t>
  </si>
  <si>
    <t>Recreation - Purchases of new CVPA equipment (339)</t>
  </si>
  <si>
    <t>Recreation - Tennis Club/Courts costs (336)</t>
  </si>
  <si>
    <t>Recreation: Building Maintenance (326)</t>
  </si>
  <si>
    <t>Recreation: Cleaning (332)</t>
  </si>
  <si>
    <t>Recreation: CVPA general Maintenance (331)</t>
  </si>
  <si>
    <t>Recreation: Gas and Electricity - Rec Hall &amp; Pavillion (333)</t>
  </si>
  <si>
    <t>Recreation: Grounds Maintenance (330)</t>
  </si>
  <si>
    <t>Recreation: Leases and Rent (327)</t>
  </si>
  <si>
    <t>Recreation: Rates and Taxes (328)</t>
  </si>
  <si>
    <t>Recreation: Waste Collection (329)</t>
  </si>
  <si>
    <t>Recreation: Water (334)</t>
  </si>
  <si>
    <t>Recreation: Youth services (335)</t>
  </si>
  <si>
    <t>Staff Pension payments (514)</t>
  </si>
  <si>
    <t>Total Overheads</t>
  </si>
  <si>
    <t>Total Expenses</t>
  </si>
  <si>
    <t>Net Profit</t>
  </si>
  <si>
    <t>2025-26 Budget:</t>
  </si>
  <si>
    <t>Add CPC grant funds carried over from 2024-25</t>
  </si>
  <si>
    <t>Total budget</t>
  </si>
  <si>
    <t>Var</t>
  </si>
  <si>
    <t>Unity Current Account at 31st May 2025</t>
  </si>
  <si>
    <t>Unity Savings Account at 31st May 2025</t>
  </si>
  <si>
    <t>CCLA Investment Account at 31st May 2025</t>
  </si>
  <si>
    <t>(VAT refund due for Apr &amp; May)</t>
  </si>
  <si>
    <t>Total funds at 31st May 2025</t>
  </si>
  <si>
    <t>Add £1,407.54 &amp; £229.72 interest income received from CCLA &amp; Unity respectively, in March 2025</t>
  </si>
  <si>
    <t>Add April &amp; May CCLA income reinvestment</t>
  </si>
  <si>
    <t>Transfers will be completed monthly based on actual CCLA reinvestments</t>
  </si>
  <si>
    <t>April Handyman Hours: Defib checks and water meter reads. Took pictures of rubbish and truck on D.Foilat green. Removed weeds from road gutters near CVPA. Checked the First Aid Boxes and resupplied out of date kit. Cleaned inside and windows of Badbury phone Box. Collected new cemetery maps from printers and put in noticeboards. Measured hedge area and taken photos at D.Foliat. Met Clerk to download data from New Road Speed sign. Put notices on boards.</t>
  </si>
  <si>
    <t>Bollards to come from CIL funds</t>
  </si>
  <si>
    <t>Chiseldon Parish Council. Approved at the Full Council Meeting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</si>
</sst>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dd\ mmm\ yyyy"/>
    <numFmt numFmtId="165" formatCode="#,##0.00;\(#,##0.00\)"/>
    <numFmt numFmtId="166" formatCode="0.00##\%"/>
    <numFmt numFmtId="167" formatCode="&quot;£&quot;#,##0.00"/>
    <numFmt numFmtId="168" formatCode="[$£-809]#,##0.00;\-[$£-809]#,##0.00"/>
    <numFmt numFmtId="169" formatCode="mmm\-yyyy"/>
  </numFmts>
  <fonts count="18" x14ac:knownFonts="1">
    <font>
      <sz val="9"/>
      <color theme="1"/>
      <name val="Arial"/>
    </font>
    <font>
      <sz val="14"/>
      <color theme="1"/>
      <name val="Arial"/>
    </font>
    <font>
      <b/>
      <sz val="14"/>
      <color theme="1"/>
      <name val="Arial"/>
    </font>
    <font>
      <sz val="12"/>
      <color theme="1"/>
      <name val="Arial"/>
    </font>
    <font>
      <sz val="10"/>
      <color theme="1"/>
      <name val="Arial"/>
    </font>
    <font>
      <b/>
      <sz val="10"/>
      <color theme="1"/>
      <name val="Arial"/>
    </font>
    <font>
      <b/>
      <sz val="9"/>
      <color theme="1"/>
      <name val="Arial"/>
    </font>
    <font>
      <sz val="9"/>
      <color theme="1"/>
      <name val="Arial"/>
      <family val="2"/>
    </font>
    <font>
      <sz val="8"/>
      <name val="Arial"/>
    </font>
    <font>
      <b/>
      <sz val="9"/>
      <color theme="1"/>
      <name val="Arial"/>
      <family val="2"/>
    </font>
    <font>
      <b/>
      <sz val="10"/>
      <name val="Arial"/>
      <family val="2"/>
    </font>
    <font>
      <sz val="9"/>
      <name val="Arial"/>
      <family val="2"/>
    </font>
    <font>
      <sz val="9"/>
      <color rgb="FFFF0000"/>
      <name val="Arial"/>
      <family val="2"/>
    </font>
    <font>
      <b/>
      <sz val="10"/>
      <color theme="1"/>
      <name val="Arial"/>
      <family val="2"/>
    </font>
    <font>
      <sz val="9"/>
      <color theme="1"/>
      <name val="Wingdings"/>
      <charset val="2"/>
    </font>
    <font>
      <b/>
      <sz val="9"/>
      <name val="Arial"/>
      <family val="2"/>
    </font>
    <font>
      <i/>
      <sz val="9"/>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99CC"/>
        <bgColor indexed="64"/>
      </patternFill>
    </fill>
    <fill>
      <patternFill patternType="solid">
        <fgColor theme="0" tint="-0.34998626667073579"/>
        <bgColor indexed="64"/>
      </patternFill>
    </fill>
    <fill>
      <patternFill patternType="solid">
        <fgColor theme="2" tint="-0.249977111117893"/>
        <bgColor indexed="64"/>
      </patternFill>
    </fill>
  </fills>
  <borders count="5">
    <border>
      <left/>
      <right/>
      <top/>
      <bottom/>
      <diagonal/>
    </border>
    <border>
      <left/>
      <right/>
      <top/>
      <bottom style="thin">
        <color rgb="FF000000"/>
      </bottom>
      <diagonal/>
    </border>
    <border>
      <left/>
      <right/>
      <top style="thin">
        <color rgb="FFEBEBEB"/>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cellStyleXfs>
  <cellXfs count="114">
    <xf numFmtId="0" fontId="0" fillId="0" borderId="0" xfId="0"/>
    <xf numFmtId="0" fontId="1"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0" xfId="0" applyAlignment="1">
      <alignment vertical="center"/>
    </xf>
    <xf numFmtId="164" fontId="0" fillId="0" borderId="0" xfId="0" applyNumberFormat="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0" fontId="0" fillId="0" borderId="2" xfId="0" applyBorder="1" applyAlignment="1">
      <alignment vertical="center"/>
    </xf>
    <xf numFmtId="164" fontId="0" fillId="0" borderId="2" xfId="0" applyNumberFormat="1" applyBorder="1" applyAlignment="1">
      <alignment horizontal="left" vertical="center"/>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0" fontId="0" fillId="0" borderId="2" xfId="0" applyBorder="1" applyAlignment="1">
      <alignment vertical="center" wrapText="1"/>
    </xf>
    <xf numFmtId="0" fontId="6" fillId="0" borderId="2" xfId="0" applyFont="1" applyBorder="1" applyAlignment="1">
      <alignment vertical="center"/>
    </xf>
    <xf numFmtId="165" fontId="6" fillId="0" borderId="2" xfId="0" applyNumberFormat="1" applyFont="1" applyBorder="1" applyAlignment="1">
      <alignment horizontal="right" vertical="center"/>
    </xf>
    <xf numFmtId="0" fontId="9" fillId="2" borderId="0" xfId="0" applyFont="1" applyFill="1" applyAlignment="1">
      <alignment vertical="center"/>
    </xf>
    <xf numFmtId="0" fontId="0" fillId="2" borderId="0" xfId="0" applyFill="1"/>
    <xf numFmtId="0" fontId="7" fillId="3" borderId="0" xfId="0" applyFont="1" applyFill="1" applyAlignment="1">
      <alignment vertical="center"/>
    </xf>
    <xf numFmtId="0" fontId="7" fillId="0" borderId="0" xfId="0" applyFont="1" applyAlignment="1">
      <alignment vertical="center"/>
    </xf>
    <xf numFmtId="167" fontId="0" fillId="0" borderId="0" xfId="0" applyNumberFormat="1" applyAlignment="1">
      <alignment vertical="center"/>
    </xf>
    <xf numFmtId="0" fontId="7" fillId="4" borderId="0" xfId="0" applyFont="1" applyFill="1" applyAlignment="1">
      <alignment vertical="center"/>
    </xf>
    <xf numFmtId="167" fontId="0" fillId="0" borderId="0" xfId="0" applyNumberFormat="1"/>
    <xf numFmtId="0" fontId="7" fillId="5" borderId="0" xfId="0" applyFont="1" applyFill="1" applyAlignment="1">
      <alignment vertical="center"/>
    </xf>
    <xf numFmtId="0" fontId="7" fillId="0" borderId="0" xfId="0" applyFont="1"/>
    <xf numFmtId="0" fontId="0" fillId="6" borderId="0" xfId="0" applyFill="1" applyAlignment="1">
      <alignment vertical="center"/>
    </xf>
    <xf numFmtId="0" fontId="7" fillId="7"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8" fontId="10" fillId="0" borderId="0" xfId="0" applyNumberFormat="1" applyFont="1" applyAlignment="1">
      <alignment vertical="center"/>
    </xf>
    <xf numFmtId="0" fontId="0" fillId="8" borderId="0" xfId="0" applyFill="1" applyAlignment="1">
      <alignment vertical="center"/>
    </xf>
    <xf numFmtId="0" fontId="0" fillId="0" borderId="0" xfId="0" applyAlignment="1">
      <alignment horizontal="center" vertical="center"/>
    </xf>
    <xf numFmtId="0" fontId="11" fillId="0" borderId="0" xfId="0" applyFont="1" applyAlignment="1">
      <alignment vertical="center"/>
    </xf>
    <xf numFmtId="0" fontId="11" fillId="0" borderId="0" xfId="0" applyFont="1" applyAlignment="1">
      <alignment horizontal="left"/>
    </xf>
    <xf numFmtId="0" fontId="0" fillId="0" borderId="0" xfId="0" applyAlignment="1">
      <alignment horizontal="right" vertical="center"/>
    </xf>
    <xf numFmtId="8" fontId="12" fillId="0" borderId="0" xfId="0" applyNumberFormat="1" applyFont="1" applyAlignment="1">
      <alignment vertical="center"/>
    </xf>
    <xf numFmtId="0" fontId="12" fillId="0" borderId="0" xfId="1" applyFont="1" applyAlignment="1">
      <alignment horizontal="left"/>
    </xf>
    <xf numFmtId="0" fontId="12" fillId="0" borderId="0" xfId="0" applyFont="1"/>
    <xf numFmtId="0" fontId="7" fillId="0" borderId="0" xfId="0" applyFont="1" applyAlignment="1">
      <alignment horizontal="right" vertical="center"/>
    </xf>
    <xf numFmtId="8" fontId="7" fillId="0" borderId="0" xfId="0" applyNumberFormat="1" applyFont="1" applyAlignment="1">
      <alignment vertical="center"/>
    </xf>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vertical="center"/>
    </xf>
    <xf numFmtId="8" fontId="0" fillId="0" borderId="0" xfId="0" applyNumberFormat="1" applyAlignment="1">
      <alignment vertical="center"/>
    </xf>
    <xf numFmtId="0" fontId="0" fillId="0" borderId="0" xfId="0" applyAlignment="1">
      <alignment horizontal="left"/>
    </xf>
    <xf numFmtId="0" fontId="9" fillId="0" borderId="0" xfId="0" applyFont="1"/>
    <xf numFmtId="8" fontId="13" fillId="0" borderId="0" xfId="0" applyNumberFormat="1" applyFont="1" applyAlignment="1">
      <alignment vertical="center"/>
    </xf>
    <xf numFmtId="0" fontId="13" fillId="0" borderId="1" xfId="0" applyFont="1" applyBorder="1" applyAlignment="1">
      <alignment horizontal="center" vertical="center" wrapText="1"/>
    </xf>
    <xf numFmtId="0" fontId="14" fillId="0" borderId="0" xfId="0" applyFont="1" applyAlignment="1">
      <alignment horizontal="center"/>
    </xf>
    <xf numFmtId="0" fontId="0" fillId="3" borderId="0" xfId="0" applyFill="1" applyAlignment="1">
      <alignment vertical="center"/>
    </xf>
    <xf numFmtId="0" fontId="0" fillId="3" borderId="2" xfId="0" applyFill="1" applyBorder="1" applyAlignment="1">
      <alignment vertical="center"/>
    </xf>
    <xf numFmtId="0" fontId="0" fillId="5" borderId="2" xfId="0" applyFill="1" applyBorder="1" applyAlignment="1">
      <alignment vertical="center"/>
    </xf>
    <xf numFmtId="0" fontId="0" fillId="9" borderId="2" xfId="0" applyFill="1" applyBorder="1" applyAlignment="1">
      <alignment vertical="center"/>
    </xf>
    <xf numFmtId="0" fontId="7" fillId="9" borderId="0" xfId="0" applyFont="1" applyFill="1"/>
    <xf numFmtId="0" fontId="0" fillId="4" borderId="2" xfId="0" applyFill="1" applyBorder="1" applyAlignment="1">
      <alignment vertical="center"/>
    </xf>
    <xf numFmtId="0" fontId="0" fillId="6" borderId="2" xfId="0" applyFill="1" applyBorder="1" applyAlignment="1">
      <alignment vertical="center"/>
    </xf>
    <xf numFmtId="0" fontId="9" fillId="0" borderId="0" xfId="1" applyFont="1" applyAlignment="1">
      <alignment vertical="center"/>
    </xf>
    <xf numFmtId="0" fontId="15" fillId="0" borderId="0" xfId="1" applyFont="1" applyAlignment="1">
      <alignment vertical="center"/>
    </xf>
    <xf numFmtId="0" fontId="7" fillId="0" borderId="0" xfId="1" applyAlignment="1">
      <alignment horizontal="center" vertical="center"/>
    </xf>
    <xf numFmtId="0" fontId="7" fillId="0" borderId="0" xfId="1" applyAlignment="1">
      <alignment vertical="center"/>
    </xf>
    <xf numFmtId="0" fontId="16" fillId="0" borderId="0" xfId="1" applyFont="1" applyAlignment="1">
      <alignment vertical="top" wrapText="1"/>
    </xf>
    <xf numFmtId="0" fontId="7" fillId="0" borderId="0" xfId="1"/>
    <xf numFmtId="0" fontId="7" fillId="0" borderId="0" xfId="1" applyAlignment="1">
      <alignment horizontal="right" vertical="center"/>
    </xf>
    <xf numFmtId="0" fontId="7" fillId="0" borderId="0" xfId="1" applyAlignment="1">
      <alignment vertical="center" wrapText="1"/>
    </xf>
    <xf numFmtId="8" fontId="7" fillId="0" borderId="0" xfId="1" applyNumberFormat="1" applyAlignment="1">
      <alignment vertical="center"/>
    </xf>
    <xf numFmtId="0" fontId="12" fillId="0" borderId="0" xfId="1" applyFont="1" applyAlignment="1">
      <alignment vertical="center"/>
    </xf>
    <xf numFmtId="0" fontId="9" fillId="0" borderId="0" xfId="1" applyFont="1"/>
    <xf numFmtId="0" fontId="7" fillId="0" borderId="0" xfId="1" applyAlignment="1">
      <alignment horizontal="left" vertical="center"/>
    </xf>
    <xf numFmtId="8" fontId="12" fillId="0" borderId="0" xfId="1" applyNumberFormat="1" applyFont="1" applyAlignment="1">
      <alignment vertical="center"/>
    </xf>
    <xf numFmtId="0" fontId="7" fillId="0" borderId="0" xfId="1" applyAlignment="1">
      <alignment horizontal="center"/>
    </xf>
    <xf numFmtId="0" fontId="12" fillId="0" borderId="0" xfId="1" applyFont="1"/>
    <xf numFmtId="8" fontId="11" fillId="0" borderId="0" xfId="1" applyNumberFormat="1" applyFont="1" applyAlignment="1">
      <alignment horizontal="center" vertical="center"/>
    </xf>
    <xf numFmtId="8" fontId="15" fillId="0" borderId="0" xfId="1" applyNumberFormat="1" applyFont="1" applyAlignment="1">
      <alignment horizontal="center" vertical="center"/>
    </xf>
    <xf numFmtId="0" fontId="7" fillId="0" borderId="0" xfId="1" applyAlignment="1">
      <alignment horizontal="left"/>
    </xf>
    <xf numFmtId="0" fontId="9" fillId="0" borderId="0" xfId="1" applyFont="1" applyAlignment="1">
      <alignment horizontal="left"/>
    </xf>
    <xf numFmtId="0" fontId="13" fillId="0" borderId="1" xfId="1" applyFont="1" applyBorder="1" applyAlignment="1">
      <alignment horizontal="left" vertical="center"/>
    </xf>
    <xf numFmtId="0" fontId="13" fillId="0" borderId="1" xfId="1" applyFont="1" applyBorder="1" applyAlignment="1">
      <alignment horizontal="right" vertical="center"/>
    </xf>
    <xf numFmtId="0" fontId="7" fillId="0" borderId="2" xfId="1" applyBorder="1" applyAlignment="1">
      <alignment vertical="center"/>
    </xf>
    <xf numFmtId="164" fontId="7" fillId="0" borderId="2" xfId="1" applyNumberFormat="1" applyBorder="1" applyAlignment="1">
      <alignment horizontal="left" vertical="center"/>
    </xf>
    <xf numFmtId="165" fontId="7" fillId="10" borderId="2" xfId="1" applyNumberFormat="1" applyFill="1" applyBorder="1" applyAlignment="1">
      <alignment horizontal="right" vertical="center"/>
    </xf>
    <xf numFmtId="165" fontId="7" fillId="0" borderId="2" xfId="1" applyNumberFormat="1" applyBorder="1" applyAlignment="1">
      <alignment horizontal="right" vertical="center"/>
    </xf>
    <xf numFmtId="17" fontId="7" fillId="0" borderId="0" xfId="1" applyNumberFormat="1" applyAlignment="1">
      <alignment horizontal="left"/>
    </xf>
    <xf numFmtId="165" fontId="7" fillId="3" borderId="2" xfId="1" applyNumberFormat="1" applyFill="1" applyBorder="1" applyAlignment="1">
      <alignment horizontal="right" vertical="center"/>
    </xf>
    <xf numFmtId="165" fontId="9" fillId="3" borderId="0" xfId="1" applyNumberFormat="1" applyFont="1" applyFill="1"/>
    <xf numFmtId="167" fontId="12" fillId="11" borderId="0" xfId="1" applyNumberFormat="1" applyFont="1" applyFill="1"/>
    <xf numFmtId="0" fontId="13" fillId="0" borderId="1" xfId="1" applyFont="1" applyBorder="1" applyAlignment="1">
      <alignment vertical="center"/>
    </xf>
    <xf numFmtId="167" fontId="12" fillId="0" borderId="0" xfId="1" applyNumberFormat="1" applyFont="1"/>
    <xf numFmtId="167" fontId="12" fillId="0" borderId="0" xfId="1" applyNumberFormat="1" applyFont="1" applyAlignment="1">
      <alignment vertical="center"/>
    </xf>
    <xf numFmtId="0" fontId="9" fillId="0" borderId="2" xfId="1" applyFont="1" applyBorder="1" applyAlignment="1">
      <alignment vertical="center"/>
    </xf>
    <xf numFmtId="165" fontId="9" fillId="3" borderId="2" xfId="1" applyNumberFormat="1" applyFont="1" applyFill="1" applyBorder="1" applyAlignment="1">
      <alignment horizontal="right" vertical="center"/>
    </xf>
    <xf numFmtId="165" fontId="9" fillId="0" borderId="2" xfId="1" applyNumberFormat="1" applyFont="1" applyBorder="1" applyAlignment="1">
      <alignment horizontal="left" vertical="center"/>
    </xf>
    <xf numFmtId="0" fontId="7" fillId="2" borderId="0" xfId="1" applyFill="1" applyAlignment="1">
      <alignment vertical="center"/>
    </xf>
    <xf numFmtId="0" fontId="7" fillId="2" borderId="0" xfId="1" applyFill="1"/>
    <xf numFmtId="168" fontId="10" fillId="0" borderId="0" xfId="1" applyNumberFormat="1" applyFont="1" applyAlignment="1">
      <alignment vertical="center"/>
    </xf>
    <xf numFmtId="169" fontId="10" fillId="0" borderId="0" xfId="1" applyNumberFormat="1" applyFont="1" applyAlignment="1">
      <alignment horizontal="left" vertical="center"/>
    </xf>
    <xf numFmtId="168" fontId="15" fillId="0" borderId="0" xfId="1" applyNumberFormat="1" applyFont="1" applyAlignment="1">
      <alignment vertical="center"/>
    </xf>
    <xf numFmtId="168" fontId="11" fillId="0" borderId="0" xfId="1" applyNumberFormat="1" applyFont="1" applyAlignment="1">
      <alignment vertical="center"/>
    </xf>
    <xf numFmtId="0" fontId="15" fillId="0" borderId="3" xfId="1" applyFont="1" applyBorder="1" applyAlignment="1">
      <alignment vertical="center"/>
    </xf>
    <xf numFmtId="168" fontId="15" fillId="0" borderId="3" xfId="1" applyNumberFormat="1" applyFont="1" applyBorder="1" applyAlignment="1">
      <alignment vertical="center"/>
    </xf>
    <xf numFmtId="168" fontId="15" fillId="3" borderId="3" xfId="1" applyNumberFormat="1" applyFont="1" applyFill="1" applyBorder="1" applyAlignment="1">
      <alignment vertical="center"/>
    </xf>
    <xf numFmtId="0" fontId="15" fillId="0" borderId="4" xfId="1" applyFont="1" applyBorder="1" applyAlignment="1">
      <alignment vertical="center"/>
    </xf>
    <xf numFmtId="168" fontId="15" fillId="0" borderId="4" xfId="1" applyNumberFormat="1" applyFont="1" applyBorder="1" applyAlignment="1">
      <alignment vertical="center"/>
    </xf>
    <xf numFmtId="168" fontId="11" fillId="3" borderId="0" xfId="1" applyNumberFormat="1" applyFont="1" applyFill="1" applyAlignment="1">
      <alignment vertical="center"/>
    </xf>
    <xf numFmtId="0" fontId="7" fillId="0" borderId="2" xfId="0" applyFont="1" applyBorder="1" applyAlignment="1">
      <alignment vertical="center" wrapText="1"/>
    </xf>
    <xf numFmtId="168" fontId="17" fillId="0" borderId="0" xfId="1" applyNumberFormat="1" applyFont="1" applyAlignment="1">
      <alignment horizontal="center" vertical="center"/>
    </xf>
    <xf numFmtId="168" fontId="10" fillId="0" borderId="0" xfId="1" applyNumberFormat="1" applyFont="1" applyAlignment="1">
      <alignment horizontal="center" vertical="center"/>
    </xf>
    <xf numFmtId="0" fontId="0" fillId="0" borderId="0" xfId="0" applyFill="1" applyAlignment="1">
      <alignment vertical="center"/>
    </xf>
    <xf numFmtId="0" fontId="0" fillId="0" borderId="0" xfId="0" applyFill="1"/>
    <xf numFmtId="8" fontId="7" fillId="0" borderId="0" xfId="0" applyNumberFormat="1" applyFont="1" applyFill="1" applyAlignment="1">
      <alignment vertical="center"/>
    </xf>
    <xf numFmtId="0" fontId="7" fillId="0" borderId="0" xfId="0" applyFont="1" applyFill="1" applyAlignment="1">
      <alignment vertical="center"/>
    </xf>
    <xf numFmtId="0" fontId="7" fillId="0" borderId="0" xfId="0" applyFont="1" applyFill="1"/>
  </cellXfs>
  <cellStyles count="2">
    <cellStyle name="Normal" xfId="0" builtinId="0" customBuiltin="1"/>
    <cellStyle name="Normal 2" xfId="1" xr:uid="{ADAC0ABA-BF77-45E9-A1AB-1AC3E1F385B5}"/>
  </cellStyles>
  <dxfs count="0"/>
  <tableStyles count="0" defaultTableStyle="TableStyleMedium2" defaultPivotStyle="PivotStyleLight16"/>
  <colors>
    <mruColors>
      <color rgb="FFFF99CC"/>
      <color rgb="FFFF66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678180</xdr:colOff>
      <xdr:row>30</xdr:row>
      <xdr:rowOff>0</xdr:rowOff>
    </xdr:from>
    <xdr:to>
      <xdr:col>8</xdr:col>
      <xdr:colOff>191016</xdr:colOff>
      <xdr:row>44</xdr:row>
      <xdr:rowOff>76382</xdr:rowOff>
    </xdr:to>
    <xdr:pic>
      <xdr:nvPicPr>
        <xdr:cNvPr id="2" name="Picture 1">
          <a:extLst>
            <a:ext uri="{FF2B5EF4-FFF2-40B4-BE49-F238E27FC236}">
              <a16:creationId xmlns:a16="http://schemas.microsoft.com/office/drawing/2014/main" id="{5EC2CBF6-8389-45FA-AD71-4106CE88026E}"/>
            </a:ext>
          </a:extLst>
        </xdr:cNvPr>
        <xdr:cNvPicPr>
          <a:picLocks noChangeAspect="1"/>
        </xdr:cNvPicPr>
      </xdr:nvPicPr>
      <xdr:blipFill>
        <a:blip xmlns:r="http://schemas.openxmlformats.org/officeDocument/2006/relationships" r:embed="rId1"/>
        <a:stretch>
          <a:fillRect/>
        </a:stretch>
      </xdr:blipFill>
      <xdr:spPr>
        <a:xfrm>
          <a:off x="678180" y="4297680"/>
          <a:ext cx="5951736" cy="210330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9"/>
  <sheetViews>
    <sheetView showGridLines="0" tabSelected="1" zoomScaleNormal="100" workbookViewId="0"/>
  </sheetViews>
  <sheetFormatPr defaultRowHeight="11.4" x14ac:dyDescent="0.2"/>
  <cols>
    <col min="1" max="1" width="5.25" customWidth="1"/>
    <col min="2" max="2" width="38.25" customWidth="1"/>
    <col min="3" max="3" width="13" customWidth="1"/>
    <col min="4" max="4" width="85.125" customWidth="1"/>
    <col min="5" max="5" width="11.5" customWidth="1"/>
    <col min="6" max="6" width="7.625" customWidth="1"/>
    <col min="7" max="7" width="11.5" customWidth="1"/>
    <col min="8" max="8" width="12" customWidth="1"/>
    <col min="9" max="9" width="18.875" customWidth="1"/>
    <col min="10" max="10" width="12.875" customWidth="1"/>
    <col min="11" max="11" width="19.75" customWidth="1"/>
    <col min="12" max="12" width="11.875" customWidth="1"/>
    <col min="13" max="13" width="13.375" customWidth="1"/>
  </cols>
  <sheetData>
    <row r="1" spans="1:13" s="1" customFormat="1" ht="16.649999999999999" customHeight="1" x14ac:dyDescent="0.3">
      <c r="A1" s="2" t="s">
        <v>0</v>
      </c>
      <c r="B1" s="2"/>
      <c r="C1" s="2"/>
      <c r="D1" s="2"/>
      <c r="E1" s="2"/>
      <c r="F1" s="2"/>
      <c r="G1" s="2"/>
      <c r="H1" s="2"/>
      <c r="I1" s="2"/>
      <c r="J1" s="2"/>
    </row>
    <row r="2" spans="1:13" s="3" customFormat="1" ht="14.4" customHeight="1" x14ac:dyDescent="0.25">
      <c r="A2" s="4" t="s">
        <v>485</v>
      </c>
      <c r="B2" s="4"/>
      <c r="C2" s="4"/>
      <c r="D2" s="4"/>
      <c r="E2" s="4"/>
      <c r="F2" s="4"/>
      <c r="G2" s="4"/>
      <c r="H2" s="4"/>
      <c r="I2" s="4"/>
      <c r="J2" s="4"/>
    </row>
    <row r="3" spans="1:13" s="3" customFormat="1" ht="14.4" customHeight="1" x14ac:dyDescent="0.25">
      <c r="A3" s="4" t="s">
        <v>2</v>
      </c>
      <c r="B3" s="4"/>
      <c r="C3" s="4"/>
      <c r="D3" s="4"/>
      <c r="E3" s="4"/>
      <c r="F3" s="4"/>
      <c r="G3" s="4"/>
      <c r="H3" s="4"/>
      <c r="I3" s="4"/>
      <c r="J3" s="4"/>
    </row>
    <row r="4" spans="1:13" ht="13.35" customHeight="1" x14ac:dyDescent="0.2"/>
    <row r="5" spans="1:13" s="5" customFormat="1" ht="52.8" x14ac:dyDescent="0.25">
      <c r="A5" s="6" t="s">
        <v>3</v>
      </c>
      <c r="B5" s="6" t="s">
        <v>4</v>
      </c>
      <c r="C5" s="6" t="s">
        <v>5</v>
      </c>
      <c r="D5" s="6" t="s">
        <v>7</v>
      </c>
      <c r="E5" s="7" t="s">
        <v>8</v>
      </c>
      <c r="F5" s="7" t="s">
        <v>9</v>
      </c>
      <c r="G5" s="7" t="s">
        <v>10</v>
      </c>
      <c r="H5" s="7" t="s">
        <v>11</v>
      </c>
      <c r="I5" s="6" t="s">
        <v>12</v>
      </c>
      <c r="J5" s="6" t="s">
        <v>13</v>
      </c>
      <c r="K5" s="50" t="s">
        <v>236</v>
      </c>
      <c r="L5" s="50" t="s">
        <v>237</v>
      </c>
      <c r="M5" s="50" t="s">
        <v>238</v>
      </c>
    </row>
    <row r="6" spans="1:13" ht="10.95" customHeight="1" x14ac:dyDescent="0.2">
      <c r="A6" s="8" t="s">
        <v>14</v>
      </c>
      <c r="B6" s="8" t="s">
        <v>15</v>
      </c>
      <c r="C6" s="9">
        <v>45778</v>
      </c>
      <c r="D6" s="52" t="s">
        <v>113</v>
      </c>
      <c r="E6" s="10">
        <v>-80</v>
      </c>
      <c r="F6" s="10">
        <v>0</v>
      </c>
      <c r="G6" s="10">
        <v>-80</v>
      </c>
      <c r="H6" s="11">
        <v>0</v>
      </c>
      <c r="I6" s="8" t="s">
        <v>16</v>
      </c>
      <c r="J6" s="8"/>
      <c r="K6" s="51"/>
    </row>
    <row r="7" spans="1:13" ht="10.95" customHeight="1" x14ac:dyDescent="0.2">
      <c r="A7" s="12" t="s">
        <v>19</v>
      </c>
      <c r="B7" s="12" t="s">
        <v>20</v>
      </c>
      <c r="C7" s="13">
        <v>45779</v>
      </c>
      <c r="D7" s="53" t="s">
        <v>21</v>
      </c>
      <c r="E7" s="14">
        <v>-1503.16</v>
      </c>
      <c r="F7" s="14">
        <v>0</v>
      </c>
      <c r="G7" s="14">
        <v>-1503.16</v>
      </c>
      <c r="H7" s="15">
        <v>0</v>
      </c>
      <c r="I7" s="12" t="s">
        <v>16</v>
      </c>
      <c r="J7" s="12"/>
      <c r="K7" s="51"/>
    </row>
    <row r="8" spans="1:13" ht="10.95" customHeight="1" x14ac:dyDescent="0.2">
      <c r="A8" s="12" t="s">
        <v>22</v>
      </c>
      <c r="B8" s="12" t="s">
        <v>23</v>
      </c>
      <c r="C8" s="13">
        <v>45779</v>
      </c>
      <c r="D8" s="53" t="s">
        <v>114</v>
      </c>
      <c r="E8" s="14">
        <v>-425.7</v>
      </c>
      <c r="F8" s="14">
        <v>0</v>
      </c>
      <c r="G8" s="14">
        <v>-425.7</v>
      </c>
      <c r="H8" s="15">
        <v>0</v>
      </c>
      <c r="I8" s="12" t="s">
        <v>24</v>
      </c>
      <c r="J8" s="12"/>
      <c r="K8" s="51"/>
    </row>
    <row r="9" spans="1:13" ht="10.95" customHeight="1" x14ac:dyDescent="0.2">
      <c r="A9" s="12" t="s">
        <v>22</v>
      </c>
      <c r="B9" s="12" t="s">
        <v>23</v>
      </c>
      <c r="C9" s="13">
        <v>45779</v>
      </c>
      <c r="D9" s="53" t="s">
        <v>25</v>
      </c>
      <c r="E9" s="14">
        <v>-162</v>
      </c>
      <c r="F9" s="14">
        <v>0</v>
      </c>
      <c r="G9" s="14">
        <v>-162</v>
      </c>
      <c r="H9" s="15">
        <v>0</v>
      </c>
      <c r="I9" s="12" t="s">
        <v>24</v>
      </c>
      <c r="J9" s="12"/>
    </row>
    <row r="10" spans="1:13" ht="10.95" customHeight="1" x14ac:dyDescent="0.2">
      <c r="A10" s="12" t="s">
        <v>26</v>
      </c>
      <c r="B10" s="12" t="s">
        <v>27</v>
      </c>
      <c r="C10" s="13">
        <v>45783</v>
      </c>
      <c r="D10" s="57" t="s">
        <v>115</v>
      </c>
      <c r="E10" s="14">
        <v>202.96</v>
      </c>
      <c r="F10" s="14">
        <v>0</v>
      </c>
      <c r="G10" s="14">
        <v>202.96</v>
      </c>
      <c r="H10" s="15">
        <v>0</v>
      </c>
      <c r="I10" s="12" t="s">
        <v>16</v>
      </c>
      <c r="J10" s="12"/>
      <c r="K10" s="51"/>
    </row>
    <row r="11" spans="1:13" x14ac:dyDescent="0.2">
      <c r="A11" s="12" t="s">
        <v>28</v>
      </c>
      <c r="B11" s="12" t="s">
        <v>29</v>
      </c>
      <c r="C11" s="13">
        <v>45783</v>
      </c>
      <c r="D11" s="16" t="s">
        <v>116</v>
      </c>
      <c r="E11" s="14">
        <v>7.2</v>
      </c>
      <c r="F11" s="14">
        <v>0</v>
      </c>
      <c r="G11" s="14">
        <v>7.2</v>
      </c>
      <c r="H11" s="15">
        <v>0</v>
      </c>
      <c r="I11" s="12" t="s">
        <v>16</v>
      </c>
      <c r="J11" s="12"/>
      <c r="K11" s="51"/>
    </row>
    <row r="12" spans="1:13" ht="10.95" customHeight="1" x14ac:dyDescent="0.2">
      <c r="A12" s="12" t="s">
        <v>30</v>
      </c>
      <c r="B12" s="12" t="s">
        <v>31</v>
      </c>
      <c r="C12" s="13">
        <v>45783</v>
      </c>
      <c r="D12" s="12" t="s">
        <v>117</v>
      </c>
      <c r="E12" s="14">
        <v>1.45</v>
      </c>
      <c r="F12" s="14">
        <v>0</v>
      </c>
      <c r="G12" s="14">
        <v>1.45</v>
      </c>
      <c r="H12" s="15">
        <v>0</v>
      </c>
      <c r="I12" s="12" t="s">
        <v>16</v>
      </c>
      <c r="J12" s="12"/>
    </row>
    <row r="13" spans="1:13" ht="10.95" customHeight="1" x14ac:dyDescent="0.2">
      <c r="A13" s="12" t="s">
        <v>22</v>
      </c>
      <c r="B13" s="12" t="s">
        <v>23</v>
      </c>
      <c r="C13" s="13">
        <v>45785</v>
      </c>
      <c r="D13" s="53" t="s">
        <v>119</v>
      </c>
      <c r="E13" s="14">
        <v>-162</v>
      </c>
      <c r="F13" s="14">
        <v>0</v>
      </c>
      <c r="G13" s="14">
        <v>-162</v>
      </c>
      <c r="H13" s="15">
        <v>0</v>
      </c>
      <c r="I13" s="12" t="s">
        <v>24</v>
      </c>
      <c r="J13" s="12"/>
      <c r="K13" s="51"/>
    </row>
    <row r="14" spans="1:13" ht="10.95" customHeight="1" x14ac:dyDescent="0.2">
      <c r="A14" s="12" t="s">
        <v>22</v>
      </c>
      <c r="B14" s="12" t="s">
        <v>23</v>
      </c>
      <c r="C14" s="13">
        <v>45785</v>
      </c>
      <c r="D14" s="53" t="s">
        <v>118</v>
      </c>
      <c r="E14" s="14">
        <v>-45</v>
      </c>
      <c r="F14" s="14">
        <v>-7.5</v>
      </c>
      <c r="G14" s="14">
        <v>-37.5</v>
      </c>
      <c r="H14" s="15">
        <v>20</v>
      </c>
      <c r="I14" s="12" t="s">
        <v>32</v>
      </c>
      <c r="J14" s="12"/>
      <c r="K14" s="51"/>
    </row>
    <row r="15" spans="1:13" ht="10.95" customHeight="1" x14ac:dyDescent="0.2">
      <c r="A15" s="12" t="s">
        <v>33</v>
      </c>
      <c r="B15" s="12" t="s">
        <v>34</v>
      </c>
      <c r="C15" s="13">
        <v>45785</v>
      </c>
      <c r="D15" s="12" t="s">
        <v>35</v>
      </c>
      <c r="E15" s="14">
        <v>10.99</v>
      </c>
      <c r="F15" s="14">
        <v>0.52</v>
      </c>
      <c r="G15" s="14">
        <v>10.47</v>
      </c>
      <c r="H15" s="15">
        <v>5</v>
      </c>
      <c r="I15" s="12" t="s">
        <v>36</v>
      </c>
      <c r="J15" s="12"/>
      <c r="K15" s="51"/>
    </row>
    <row r="16" spans="1:13" ht="10.95" customHeight="1" x14ac:dyDescent="0.2">
      <c r="A16" s="12" t="s">
        <v>37</v>
      </c>
      <c r="B16" s="12" t="s">
        <v>38</v>
      </c>
      <c r="C16" s="13">
        <v>45786</v>
      </c>
      <c r="D16" s="12" t="s">
        <v>120</v>
      </c>
      <c r="E16" s="14">
        <v>1.44</v>
      </c>
      <c r="F16" s="14">
        <v>0.24</v>
      </c>
      <c r="G16" s="14">
        <v>1.2</v>
      </c>
      <c r="H16" s="15">
        <v>20</v>
      </c>
      <c r="I16" s="12" t="s">
        <v>39</v>
      </c>
      <c r="J16" s="12"/>
      <c r="K16" s="51"/>
    </row>
    <row r="17" spans="1:13" ht="10.95" customHeight="1" x14ac:dyDescent="0.2">
      <c r="A17" s="12" t="s">
        <v>37</v>
      </c>
      <c r="B17" s="12" t="s">
        <v>38</v>
      </c>
      <c r="C17" s="13">
        <v>45786</v>
      </c>
      <c r="D17" s="12" t="s">
        <v>121</v>
      </c>
      <c r="E17" s="14">
        <v>0.73</v>
      </c>
      <c r="F17" s="14">
        <v>0.12</v>
      </c>
      <c r="G17" s="14">
        <v>0.61</v>
      </c>
      <c r="H17" s="15">
        <v>20</v>
      </c>
      <c r="I17" s="12" t="s">
        <v>39</v>
      </c>
      <c r="J17" s="12"/>
      <c r="K17" s="51"/>
    </row>
    <row r="18" spans="1:13" ht="10.95" customHeight="1" x14ac:dyDescent="0.2">
      <c r="A18" s="12" t="s">
        <v>22</v>
      </c>
      <c r="B18" s="12" t="s">
        <v>23</v>
      </c>
      <c r="C18" s="13">
        <v>45789</v>
      </c>
      <c r="D18" s="53" t="s">
        <v>122</v>
      </c>
      <c r="E18" s="14">
        <v>-86.7</v>
      </c>
      <c r="F18" s="14">
        <v>0</v>
      </c>
      <c r="G18" s="14">
        <v>-86.7</v>
      </c>
      <c r="H18" s="15">
        <v>0</v>
      </c>
      <c r="I18" s="12" t="s">
        <v>24</v>
      </c>
      <c r="J18" s="12"/>
      <c r="K18" s="51"/>
    </row>
    <row r="19" spans="1:13" ht="10.95" customHeight="1" x14ac:dyDescent="0.2">
      <c r="A19" s="12" t="s">
        <v>22</v>
      </c>
      <c r="B19" s="12" t="s">
        <v>23</v>
      </c>
      <c r="C19" s="13">
        <v>45791</v>
      </c>
      <c r="D19" s="53" t="s">
        <v>40</v>
      </c>
      <c r="E19" s="14">
        <v>-211.78</v>
      </c>
      <c r="F19" s="14">
        <v>-35.299999999999997</v>
      </c>
      <c r="G19" s="14">
        <v>-176.48</v>
      </c>
      <c r="H19" s="15">
        <v>20</v>
      </c>
      <c r="I19" s="12" t="s">
        <v>32</v>
      </c>
      <c r="J19" s="12"/>
      <c r="K19" s="51"/>
    </row>
    <row r="20" spans="1:13" ht="10.95" customHeight="1" x14ac:dyDescent="0.2">
      <c r="A20" s="12" t="s">
        <v>41</v>
      </c>
      <c r="B20" s="12" t="s">
        <v>42</v>
      </c>
      <c r="C20" s="13">
        <v>45792</v>
      </c>
      <c r="D20" s="12" t="s">
        <v>124</v>
      </c>
      <c r="E20" s="14">
        <v>63.3</v>
      </c>
      <c r="F20" s="14">
        <v>0</v>
      </c>
      <c r="G20" s="14">
        <v>63.3</v>
      </c>
      <c r="H20" s="15">
        <v>0</v>
      </c>
      <c r="I20" s="12" t="s">
        <v>16</v>
      </c>
      <c r="J20" s="12"/>
      <c r="K20" s="51" t="s">
        <v>239</v>
      </c>
      <c r="L20" t="s">
        <v>240</v>
      </c>
      <c r="M20" t="s">
        <v>242</v>
      </c>
    </row>
    <row r="21" spans="1:13" ht="10.95" customHeight="1" x14ac:dyDescent="0.2">
      <c r="A21" s="12" t="s">
        <v>41</v>
      </c>
      <c r="B21" s="12" t="s">
        <v>42</v>
      </c>
      <c r="C21" s="13">
        <v>45792</v>
      </c>
      <c r="D21" s="12" t="s">
        <v>125</v>
      </c>
      <c r="E21" s="14">
        <v>51.28</v>
      </c>
      <c r="F21" s="14">
        <v>0</v>
      </c>
      <c r="G21" s="14">
        <v>51.28</v>
      </c>
      <c r="H21" s="15">
        <v>0</v>
      </c>
      <c r="I21" s="12" t="s">
        <v>16</v>
      </c>
      <c r="J21" s="12"/>
      <c r="K21" s="51" t="s">
        <v>239</v>
      </c>
      <c r="L21" t="s">
        <v>240</v>
      </c>
      <c r="M21" t="s">
        <v>242</v>
      </c>
    </row>
    <row r="22" spans="1:13" ht="10.95" customHeight="1" x14ac:dyDescent="0.2">
      <c r="A22" s="12" t="s">
        <v>41</v>
      </c>
      <c r="B22" s="12" t="s">
        <v>42</v>
      </c>
      <c r="C22" s="13">
        <v>45792</v>
      </c>
      <c r="D22" s="12" t="s">
        <v>126</v>
      </c>
      <c r="E22" s="14">
        <v>35.1</v>
      </c>
      <c r="F22" s="14">
        <v>0</v>
      </c>
      <c r="G22" s="14">
        <v>35.1</v>
      </c>
      <c r="H22" s="15">
        <v>0</v>
      </c>
      <c r="I22" s="12" t="s">
        <v>16</v>
      </c>
      <c r="J22" s="12"/>
      <c r="K22" s="51" t="s">
        <v>239</v>
      </c>
      <c r="L22" t="s">
        <v>240</v>
      </c>
      <c r="M22" t="s">
        <v>242</v>
      </c>
    </row>
    <row r="23" spans="1:13" ht="10.95" customHeight="1" x14ac:dyDescent="0.2">
      <c r="A23" s="12" t="s">
        <v>41</v>
      </c>
      <c r="B23" s="12" t="s">
        <v>42</v>
      </c>
      <c r="C23" s="13">
        <v>45792</v>
      </c>
      <c r="D23" s="12" t="s">
        <v>127</v>
      </c>
      <c r="E23" s="14">
        <v>10.8</v>
      </c>
      <c r="F23" s="14">
        <v>0</v>
      </c>
      <c r="G23" s="14">
        <v>10.8</v>
      </c>
      <c r="H23" s="15">
        <v>0</v>
      </c>
      <c r="I23" s="12" t="s">
        <v>16</v>
      </c>
      <c r="J23" s="12"/>
      <c r="K23" s="51" t="s">
        <v>239</v>
      </c>
      <c r="L23" t="s">
        <v>240</v>
      </c>
      <c r="M23" t="s">
        <v>242</v>
      </c>
    </row>
    <row r="24" spans="1:13" ht="10.95" customHeight="1" x14ac:dyDescent="0.2">
      <c r="A24" s="12" t="s">
        <v>43</v>
      </c>
      <c r="B24" s="12" t="s">
        <v>44</v>
      </c>
      <c r="C24" s="13">
        <v>45792</v>
      </c>
      <c r="D24" s="12" t="s">
        <v>123</v>
      </c>
      <c r="E24" s="14">
        <v>408</v>
      </c>
      <c r="F24" s="14">
        <v>68</v>
      </c>
      <c r="G24" s="14">
        <v>340</v>
      </c>
      <c r="H24" s="15">
        <v>20</v>
      </c>
      <c r="I24" s="12" t="s">
        <v>39</v>
      </c>
      <c r="J24" s="12"/>
      <c r="K24" s="51"/>
    </row>
    <row r="25" spans="1:13" ht="10.95" customHeight="1" x14ac:dyDescent="0.2">
      <c r="A25" s="12" t="s">
        <v>45</v>
      </c>
      <c r="B25" s="12" t="s">
        <v>46</v>
      </c>
      <c r="C25" s="13">
        <v>45792</v>
      </c>
      <c r="D25" s="12" t="s">
        <v>136</v>
      </c>
      <c r="E25" s="14">
        <v>259.02</v>
      </c>
      <c r="F25" s="14">
        <v>43.17</v>
      </c>
      <c r="G25" s="14">
        <v>215.85</v>
      </c>
      <c r="H25" s="15">
        <v>20</v>
      </c>
      <c r="I25" s="12" t="s">
        <v>39</v>
      </c>
      <c r="J25" s="12"/>
      <c r="K25" s="51" t="s">
        <v>239</v>
      </c>
      <c r="L25" t="s">
        <v>240</v>
      </c>
      <c r="M25" t="s">
        <v>243</v>
      </c>
    </row>
    <row r="26" spans="1:13" ht="10.95" customHeight="1" x14ac:dyDescent="0.2">
      <c r="A26" s="12" t="s">
        <v>47</v>
      </c>
      <c r="B26" s="12" t="s">
        <v>48</v>
      </c>
      <c r="C26" s="13">
        <v>45792</v>
      </c>
      <c r="D26" s="12" t="s">
        <v>137</v>
      </c>
      <c r="E26" s="14">
        <v>75</v>
      </c>
      <c r="F26" s="14">
        <v>12.5</v>
      </c>
      <c r="G26" s="14">
        <v>62.5</v>
      </c>
      <c r="H26" s="15">
        <v>20</v>
      </c>
      <c r="I26" s="12" t="s">
        <v>39</v>
      </c>
      <c r="J26" s="12"/>
      <c r="K26" s="51" t="s">
        <v>239</v>
      </c>
      <c r="L26" t="s">
        <v>240</v>
      </c>
      <c r="M26" t="s">
        <v>243</v>
      </c>
    </row>
    <row r="27" spans="1:13" ht="10.95" customHeight="1" x14ac:dyDescent="0.2">
      <c r="A27" s="12" t="s">
        <v>47</v>
      </c>
      <c r="B27" s="12" t="s">
        <v>48</v>
      </c>
      <c r="C27" s="13">
        <v>45792</v>
      </c>
      <c r="D27" s="12" t="s">
        <v>138</v>
      </c>
      <c r="E27" s="14">
        <v>447.34</v>
      </c>
      <c r="F27" s="14">
        <v>74.56</v>
      </c>
      <c r="G27" s="14">
        <v>372.78</v>
      </c>
      <c r="H27" s="15">
        <v>20</v>
      </c>
      <c r="I27" s="12" t="s">
        <v>39</v>
      </c>
      <c r="J27" s="12"/>
      <c r="K27" s="51" t="s">
        <v>239</v>
      </c>
      <c r="L27" t="s">
        <v>240</v>
      </c>
      <c r="M27" t="s">
        <v>243</v>
      </c>
    </row>
    <row r="28" spans="1:13" ht="22.8" x14ac:dyDescent="0.2">
      <c r="A28" s="12" t="s">
        <v>47</v>
      </c>
      <c r="B28" s="12" t="s">
        <v>48</v>
      </c>
      <c r="C28" s="13">
        <v>45792</v>
      </c>
      <c r="D28" s="16" t="s">
        <v>128</v>
      </c>
      <c r="E28" s="14">
        <v>105.5</v>
      </c>
      <c r="F28" s="14">
        <v>0</v>
      </c>
      <c r="G28" s="14">
        <v>105.5</v>
      </c>
      <c r="H28" s="15">
        <v>0</v>
      </c>
      <c r="I28" s="12" t="s">
        <v>16</v>
      </c>
      <c r="J28" s="12"/>
      <c r="K28" s="51" t="s">
        <v>239</v>
      </c>
      <c r="L28" t="s">
        <v>240</v>
      </c>
      <c r="M28" t="s">
        <v>242</v>
      </c>
    </row>
    <row r="29" spans="1:13" ht="22.8" x14ac:dyDescent="0.2">
      <c r="A29" s="12" t="s">
        <v>49</v>
      </c>
      <c r="B29" s="12" t="s">
        <v>50</v>
      </c>
      <c r="C29" s="13">
        <v>45792</v>
      </c>
      <c r="D29" s="16" t="s">
        <v>129</v>
      </c>
      <c r="E29" s="14">
        <v>63.3</v>
      </c>
      <c r="F29" s="14">
        <v>0</v>
      </c>
      <c r="G29" s="14">
        <v>63.3</v>
      </c>
      <c r="H29" s="15">
        <v>0</v>
      </c>
      <c r="I29" s="12" t="s">
        <v>16</v>
      </c>
      <c r="J29" s="12"/>
      <c r="K29" s="51" t="s">
        <v>239</v>
      </c>
      <c r="L29" t="s">
        <v>240</v>
      </c>
      <c r="M29" t="s">
        <v>242</v>
      </c>
    </row>
    <row r="30" spans="1:13" ht="10.95" customHeight="1" x14ac:dyDescent="0.2">
      <c r="A30" s="12" t="s">
        <v>51</v>
      </c>
      <c r="B30" s="12" t="s">
        <v>52</v>
      </c>
      <c r="C30" s="13">
        <v>45792</v>
      </c>
      <c r="D30" s="58" t="s">
        <v>139</v>
      </c>
      <c r="E30" s="14">
        <v>500</v>
      </c>
      <c r="F30" s="14">
        <v>0</v>
      </c>
      <c r="G30" s="14">
        <v>500</v>
      </c>
      <c r="H30" s="15">
        <v>0</v>
      </c>
      <c r="I30" s="12" t="s">
        <v>16</v>
      </c>
      <c r="J30" s="12" t="s">
        <v>53</v>
      </c>
      <c r="K30" s="51" t="s">
        <v>239</v>
      </c>
      <c r="L30" t="s">
        <v>241</v>
      </c>
      <c r="M30" t="s">
        <v>247</v>
      </c>
    </row>
    <row r="31" spans="1:13" ht="10.95" customHeight="1" x14ac:dyDescent="0.2">
      <c r="A31" s="12" t="s">
        <v>54</v>
      </c>
      <c r="B31" s="12" t="s">
        <v>55</v>
      </c>
      <c r="C31" s="13">
        <v>45792</v>
      </c>
      <c r="D31" s="12" t="s">
        <v>140</v>
      </c>
      <c r="E31" s="14">
        <v>654</v>
      </c>
      <c r="F31" s="14">
        <v>109</v>
      </c>
      <c r="G31" s="14">
        <v>545</v>
      </c>
      <c r="H31" s="15">
        <v>20</v>
      </c>
      <c r="I31" s="12" t="s">
        <v>39</v>
      </c>
      <c r="J31" s="12"/>
      <c r="K31" s="51" t="s">
        <v>239</v>
      </c>
      <c r="L31" t="s">
        <v>240</v>
      </c>
      <c r="M31" t="s">
        <v>243</v>
      </c>
    </row>
    <row r="32" spans="1:13" ht="22.8" x14ac:dyDescent="0.2">
      <c r="A32" s="12" t="s">
        <v>54</v>
      </c>
      <c r="B32" s="12" t="s">
        <v>55</v>
      </c>
      <c r="C32" s="13">
        <v>45792</v>
      </c>
      <c r="D32" s="16" t="s">
        <v>130</v>
      </c>
      <c r="E32" s="14">
        <v>137.15</v>
      </c>
      <c r="F32" s="14">
        <v>0</v>
      </c>
      <c r="G32" s="14">
        <v>137.15</v>
      </c>
      <c r="H32" s="15">
        <v>0</v>
      </c>
      <c r="I32" s="12" t="s">
        <v>16</v>
      </c>
      <c r="J32" s="12"/>
      <c r="K32" s="51" t="s">
        <v>239</v>
      </c>
      <c r="L32" t="s">
        <v>240</v>
      </c>
      <c r="M32" t="s">
        <v>242</v>
      </c>
    </row>
    <row r="33" spans="1:13" ht="10.95" customHeight="1" x14ac:dyDescent="0.2">
      <c r="A33" s="12" t="s">
        <v>56</v>
      </c>
      <c r="B33" s="12" t="s">
        <v>57</v>
      </c>
      <c r="C33" s="13">
        <v>45792</v>
      </c>
      <c r="D33" s="12" t="s">
        <v>141</v>
      </c>
      <c r="E33" s="14">
        <v>104</v>
      </c>
      <c r="F33" s="14">
        <v>17.329999999999998</v>
      </c>
      <c r="G33" s="14">
        <v>86.67</v>
      </c>
      <c r="H33" s="15">
        <v>20</v>
      </c>
      <c r="I33" s="12" t="s">
        <v>39</v>
      </c>
      <c r="J33" s="12"/>
      <c r="K33" s="51" t="s">
        <v>239</v>
      </c>
      <c r="L33" t="s">
        <v>240</v>
      </c>
      <c r="M33" t="s">
        <v>243</v>
      </c>
    </row>
    <row r="34" spans="1:13" ht="10.95" customHeight="1" x14ac:dyDescent="0.2">
      <c r="A34" s="12" t="s">
        <v>56</v>
      </c>
      <c r="B34" s="12" t="s">
        <v>57</v>
      </c>
      <c r="C34" s="13">
        <v>45792</v>
      </c>
      <c r="D34" s="12" t="s">
        <v>142</v>
      </c>
      <c r="E34" s="14">
        <v>195</v>
      </c>
      <c r="F34" s="14">
        <v>32.5</v>
      </c>
      <c r="G34" s="14">
        <v>162.5</v>
      </c>
      <c r="H34" s="15">
        <v>20</v>
      </c>
      <c r="I34" s="12" t="s">
        <v>39</v>
      </c>
      <c r="J34" s="12"/>
      <c r="K34" s="51" t="s">
        <v>239</v>
      </c>
      <c r="L34" t="s">
        <v>240</v>
      </c>
      <c r="M34" t="s">
        <v>243</v>
      </c>
    </row>
    <row r="35" spans="1:13" ht="34.200000000000003" x14ac:dyDescent="0.2">
      <c r="A35" s="12" t="s">
        <v>58</v>
      </c>
      <c r="B35" s="12" t="s">
        <v>59</v>
      </c>
      <c r="C35" s="13">
        <v>45792</v>
      </c>
      <c r="D35" s="16" t="s">
        <v>131</v>
      </c>
      <c r="E35" s="14">
        <v>137.15</v>
      </c>
      <c r="F35" s="14">
        <v>0</v>
      </c>
      <c r="G35" s="14">
        <v>137.15</v>
      </c>
      <c r="H35" s="15">
        <v>0</v>
      </c>
      <c r="I35" s="12" t="s">
        <v>16</v>
      </c>
      <c r="J35" s="12"/>
      <c r="K35" s="51" t="s">
        <v>239</v>
      </c>
      <c r="L35" t="s">
        <v>240</v>
      </c>
      <c r="M35" t="s">
        <v>242</v>
      </c>
    </row>
    <row r="36" spans="1:13" ht="10.95" customHeight="1" x14ac:dyDescent="0.2">
      <c r="A36" s="12" t="s">
        <v>58</v>
      </c>
      <c r="B36" s="12" t="s">
        <v>59</v>
      </c>
      <c r="C36" s="13">
        <v>45792</v>
      </c>
      <c r="D36" s="12" t="s">
        <v>132</v>
      </c>
      <c r="E36" s="14">
        <v>2.25</v>
      </c>
      <c r="F36" s="14">
        <v>0</v>
      </c>
      <c r="G36" s="14">
        <v>2.25</v>
      </c>
      <c r="H36" s="15">
        <v>0</v>
      </c>
      <c r="I36" s="12" t="s">
        <v>16</v>
      </c>
      <c r="J36" s="12"/>
      <c r="K36" s="51" t="s">
        <v>239</v>
      </c>
      <c r="L36" t="s">
        <v>240</v>
      </c>
      <c r="M36" t="s">
        <v>242</v>
      </c>
    </row>
    <row r="37" spans="1:13" ht="10.95" customHeight="1" x14ac:dyDescent="0.2">
      <c r="A37" s="12" t="s">
        <v>58</v>
      </c>
      <c r="B37" s="12" t="s">
        <v>59</v>
      </c>
      <c r="C37" s="13">
        <v>45792</v>
      </c>
      <c r="D37" s="12" t="s">
        <v>133</v>
      </c>
      <c r="E37" s="14">
        <v>3</v>
      </c>
      <c r="F37" s="14">
        <v>0</v>
      </c>
      <c r="G37" s="14">
        <v>3</v>
      </c>
      <c r="H37" s="15">
        <v>0</v>
      </c>
      <c r="I37" s="12" t="s">
        <v>16</v>
      </c>
      <c r="J37" s="12"/>
      <c r="K37" s="51" t="s">
        <v>239</v>
      </c>
      <c r="L37" t="s">
        <v>240</v>
      </c>
      <c r="M37" t="s">
        <v>242</v>
      </c>
    </row>
    <row r="38" spans="1:13" ht="10.95" customHeight="1" x14ac:dyDescent="0.2">
      <c r="A38" s="12" t="s">
        <v>60</v>
      </c>
      <c r="B38" s="12" t="s">
        <v>61</v>
      </c>
      <c r="C38" s="13">
        <v>45792</v>
      </c>
      <c r="D38" s="12" t="s">
        <v>143</v>
      </c>
      <c r="E38" s="14">
        <v>65.010000000000005</v>
      </c>
      <c r="F38" s="14">
        <v>10.84</v>
      </c>
      <c r="G38" s="14">
        <v>54.17</v>
      </c>
      <c r="H38" s="15">
        <v>20</v>
      </c>
      <c r="I38" s="12" t="s">
        <v>39</v>
      </c>
      <c r="J38" s="12"/>
      <c r="K38" s="51" t="s">
        <v>239</v>
      </c>
      <c r="L38" t="s">
        <v>240</v>
      </c>
      <c r="M38" t="s">
        <v>243</v>
      </c>
    </row>
    <row r="39" spans="1:13" ht="10.95" customHeight="1" x14ac:dyDescent="0.2">
      <c r="A39" s="12" t="s">
        <v>62</v>
      </c>
      <c r="B39" s="12" t="s">
        <v>63</v>
      </c>
      <c r="C39" s="13">
        <v>45792</v>
      </c>
      <c r="D39" s="12" t="s">
        <v>144</v>
      </c>
      <c r="E39" s="14">
        <v>648</v>
      </c>
      <c r="F39" s="14">
        <v>108</v>
      </c>
      <c r="G39" s="14">
        <v>540</v>
      </c>
      <c r="H39" s="15">
        <v>20</v>
      </c>
      <c r="I39" s="12" t="s">
        <v>39</v>
      </c>
      <c r="J39" s="12"/>
      <c r="K39" s="51" t="s">
        <v>239</v>
      </c>
      <c r="L39" t="s">
        <v>240</v>
      </c>
      <c r="M39" t="s">
        <v>243</v>
      </c>
    </row>
    <row r="40" spans="1:13" ht="10.95" customHeight="1" x14ac:dyDescent="0.2">
      <c r="A40" s="12" t="s">
        <v>64</v>
      </c>
      <c r="B40" s="12" t="s">
        <v>65</v>
      </c>
      <c r="C40" s="13">
        <v>45792</v>
      </c>
      <c r="D40" s="12" t="s">
        <v>145</v>
      </c>
      <c r="E40" s="14">
        <v>768.43</v>
      </c>
      <c r="F40" s="14">
        <v>128.07</v>
      </c>
      <c r="G40" s="14">
        <v>640.36</v>
      </c>
      <c r="H40" s="15">
        <v>20</v>
      </c>
      <c r="I40" s="12" t="s">
        <v>39</v>
      </c>
      <c r="J40" s="12"/>
      <c r="K40" s="51" t="s">
        <v>239</v>
      </c>
      <c r="L40" t="s">
        <v>240</v>
      </c>
      <c r="M40" t="s">
        <v>243</v>
      </c>
    </row>
    <row r="41" spans="1:13" ht="10.95" customHeight="1" x14ac:dyDescent="0.2">
      <c r="A41" s="12" t="s">
        <v>66</v>
      </c>
      <c r="B41" s="12" t="s">
        <v>67</v>
      </c>
      <c r="C41" s="13">
        <v>45792</v>
      </c>
      <c r="D41" s="12" t="s">
        <v>146</v>
      </c>
      <c r="E41" s="14">
        <v>78.739999999999995</v>
      </c>
      <c r="F41" s="14">
        <v>13.12</v>
      </c>
      <c r="G41" s="14">
        <v>65.62</v>
      </c>
      <c r="H41" s="15">
        <v>20</v>
      </c>
      <c r="I41" s="12" t="s">
        <v>39</v>
      </c>
      <c r="J41" s="12"/>
      <c r="K41" s="51" t="s">
        <v>239</v>
      </c>
      <c r="L41" t="s">
        <v>240</v>
      </c>
      <c r="M41" t="s">
        <v>243</v>
      </c>
    </row>
    <row r="42" spans="1:13" ht="57" x14ac:dyDescent="0.2">
      <c r="A42" s="12" t="s">
        <v>68</v>
      </c>
      <c r="B42" s="12" t="s">
        <v>69</v>
      </c>
      <c r="C42" s="13">
        <v>45792</v>
      </c>
      <c r="D42" s="106" t="s">
        <v>483</v>
      </c>
      <c r="E42" s="14">
        <v>358.7</v>
      </c>
      <c r="F42" s="14">
        <v>0</v>
      </c>
      <c r="G42" s="14">
        <v>358.7</v>
      </c>
      <c r="H42" s="15">
        <v>0</v>
      </c>
      <c r="I42" s="12" t="s">
        <v>16</v>
      </c>
      <c r="J42" s="12"/>
      <c r="K42" s="51" t="s">
        <v>239</v>
      </c>
      <c r="L42" t="s">
        <v>240</v>
      </c>
      <c r="M42" t="s">
        <v>242</v>
      </c>
    </row>
    <row r="43" spans="1:13" ht="10.95" customHeight="1" x14ac:dyDescent="0.2">
      <c r="A43" s="12" t="s">
        <v>64</v>
      </c>
      <c r="B43" s="12" t="s">
        <v>65</v>
      </c>
      <c r="C43" s="13">
        <v>45792</v>
      </c>
      <c r="D43" s="12" t="s">
        <v>134</v>
      </c>
      <c r="E43" s="14">
        <v>42.2</v>
      </c>
      <c r="F43" s="14">
        <v>0</v>
      </c>
      <c r="G43" s="14">
        <v>42.2</v>
      </c>
      <c r="H43" s="15">
        <v>0</v>
      </c>
      <c r="I43" s="12" t="s">
        <v>16</v>
      </c>
      <c r="J43" s="12"/>
      <c r="K43" s="51" t="s">
        <v>239</v>
      </c>
      <c r="L43" t="s">
        <v>240</v>
      </c>
      <c r="M43" t="s">
        <v>242</v>
      </c>
    </row>
    <row r="44" spans="1:13" ht="10.95" customHeight="1" x14ac:dyDescent="0.2">
      <c r="A44" s="12" t="s">
        <v>70</v>
      </c>
      <c r="B44" s="12" t="s">
        <v>71</v>
      </c>
      <c r="C44" s="13">
        <v>45792</v>
      </c>
      <c r="D44" s="12" t="s">
        <v>135</v>
      </c>
      <c r="E44" s="14">
        <v>42.2</v>
      </c>
      <c r="F44" s="14">
        <v>0</v>
      </c>
      <c r="G44" s="14">
        <v>42.2</v>
      </c>
      <c r="H44" s="15">
        <v>0</v>
      </c>
      <c r="I44" s="12" t="s">
        <v>16</v>
      </c>
      <c r="J44" s="12"/>
      <c r="K44" s="51"/>
    </row>
    <row r="45" spans="1:13" ht="10.95" customHeight="1" x14ac:dyDescent="0.2">
      <c r="A45" s="12" t="s">
        <v>72</v>
      </c>
      <c r="B45" s="12" t="s">
        <v>73</v>
      </c>
      <c r="C45" s="13">
        <v>45793</v>
      </c>
      <c r="D45" s="12" t="s">
        <v>147</v>
      </c>
      <c r="E45" s="14">
        <v>3</v>
      </c>
      <c r="F45" s="14">
        <v>0</v>
      </c>
      <c r="G45" s="14">
        <v>3</v>
      </c>
      <c r="H45" s="15">
        <v>0</v>
      </c>
      <c r="I45" s="12" t="s">
        <v>16</v>
      </c>
      <c r="J45" s="12"/>
      <c r="K45" s="51"/>
    </row>
    <row r="46" spans="1:13" ht="10.95" customHeight="1" x14ac:dyDescent="0.2">
      <c r="A46" s="12" t="s">
        <v>74</v>
      </c>
      <c r="B46" s="12" t="s">
        <v>75</v>
      </c>
      <c r="C46" s="13">
        <v>45793</v>
      </c>
      <c r="D46" s="12" t="s">
        <v>148</v>
      </c>
      <c r="E46" s="14">
        <v>172.98</v>
      </c>
      <c r="F46" s="14">
        <v>28.83</v>
      </c>
      <c r="G46" s="14">
        <v>144.15</v>
      </c>
      <c r="H46" s="15">
        <v>20</v>
      </c>
      <c r="I46" s="12" t="s">
        <v>39</v>
      </c>
      <c r="J46" s="12"/>
      <c r="K46" s="51"/>
    </row>
    <row r="47" spans="1:13" ht="10.95" customHeight="1" x14ac:dyDescent="0.2">
      <c r="A47" s="12" t="s">
        <v>74</v>
      </c>
      <c r="B47" s="12" t="s">
        <v>75</v>
      </c>
      <c r="C47" s="13">
        <v>45793</v>
      </c>
      <c r="D47" s="12" t="s">
        <v>149</v>
      </c>
      <c r="E47" s="14">
        <v>75.61</v>
      </c>
      <c r="F47" s="14">
        <v>12.6</v>
      </c>
      <c r="G47" s="14">
        <v>63.01</v>
      </c>
      <c r="H47" s="15">
        <v>20</v>
      </c>
      <c r="I47" s="12" t="s">
        <v>39</v>
      </c>
      <c r="J47" s="12"/>
      <c r="K47" s="51"/>
    </row>
    <row r="48" spans="1:13" ht="10.95" customHeight="1" x14ac:dyDescent="0.2">
      <c r="A48" s="12" t="s">
        <v>37</v>
      </c>
      <c r="B48" s="12" t="s">
        <v>38</v>
      </c>
      <c r="C48" s="13">
        <v>45793</v>
      </c>
      <c r="D48" s="12" t="s">
        <v>150</v>
      </c>
      <c r="E48" s="14">
        <v>12</v>
      </c>
      <c r="F48" s="14">
        <v>0</v>
      </c>
      <c r="G48" s="14">
        <v>12</v>
      </c>
      <c r="H48" s="15">
        <v>0</v>
      </c>
      <c r="I48" s="12" t="s">
        <v>16</v>
      </c>
      <c r="J48" s="12"/>
      <c r="K48" s="51"/>
    </row>
    <row r="49" spans="1:13" ht="10.95" customHeight="1" x14ac:dyDescent="0.2">
      <c r="A49" s="12" t="s">
        <v>76</v>
      </c>
      <c r="B49" s="12" t="s">
        <v>77</v>
      </c>
      <c r="C49" s="13">
        <v>45793</v>
      </c>
      <c r="D49" s="12" t="s">
        <v>78</v>
      </c>
      <c r="E49" s="14">
        <v>79.709999999999994</v>
      </c>
      <c r="F49" s="14">
        <v>3.8</v>
      </c>
      <c r="G49" s="14">
        <v>75.91</v>
      </c>
      <c r="H49" s="15">
        <v>5</v>
      </c>
      <c r="I49" s="12" t="s">
        <v>36</v>
      </c>
      <c r="J49" s="12"/>
      <c r="K49" s="51"/>
    </row>
    <row r="50" spans="1:13" ht="10.95" customHeight="1" x14ac:dyDescent="0.2">
      <c r="A50" s="12" t="s">
        <v>76</v>
      </c>
      <c r="B50" s="12" t="s">
        <v>77</v>
      </c>
      <c r="C50" s="13">
        <v>45793</v>
      </c>
      <c r="D50" s="12" t="s">
        <v>79</v>
      </c>
      <c r="E50" s="14">
        <v>30.48</v>
      </c>
      <c r="F50" s="14">
        <v>1.45</v>
      </c>
      <c r="G50" s="14">
        <v>29.03</v>
      </c>
      <c r="H50" s="15">
        <v>5</v>
      </c>
      <c r="I50" s="12" t="s">
        <v>36</v>
      </c>
      <c r="J50" s="12"/>
      <c r="K50" s="51"/>
    </row>
    <row r="51" spans="1:13" ht="10.95" customHeight="1" x14ac:dyDescent="0.2">
      <c r="A51" s="12" t="s">
        <v>80</v>
      </c>
      <c r="B51" s="12" t="s">
        <v>81</v>
      </c>
      <c r="C51" s="13">
        <v>45793</v>
      </c>
      <c r="D51" s="12" t="s">
        <v>151</v>
      </c>
      <c r="E51" s="14">
        <v>59.25</v>
      </c>
      <c r="F51" s="14">
        <v>0</v>
      </c>
      <c r="G51" s="14">
        <v>59.25</v>
      </c>
      <c r="H51" s="15">
        <v>0</v>
      </c>
      <c r="I51" s="12" t="s">
        <v>16</v>
      </c>
      <c r="J51" s="12"/>
      <c r="K51" s="51"/>
    </row>
    <row r="52" spans="1:13" ht="10.95" customHeight="1" x14ac:dyDescent="0.2">
      <c r="A52" s="12" t="s">
        <v>30</v>
      </c>
      <c r="B52" s="12" t="s">
        <v>31</v>
      </c>
      <c r="C52" s="13">
        <v>45793</v>
      </c>
      <c r="D52" s="12" t="s">
        <v>152</v>
      </c>
      <c r="E52" s="14">
        <v>30</v>
      </c>
      <c r="F52" s="14">
        <v>5</v>
      </c>
      <c r="G52" s="14">
        <v>25</v>
      </c>
      <c r="H52" s="15">
        <v>20</v>
      </c>
      <c r="I52" s="12" t="s">
        <v>39</v>
      </c>
      <c r="J52" s="12"/>
      <c r="K52" s="51"/>
    </row>
    <row r="53" spans="1:13" ht="10.95" customHeight="1" x14ac:dyDescent="0.2">
      <c r="A53" s="12" t="s">
        <v>17</v>
      </c>
      <c r="B53" s="12" t="s">
        <v>18</v>
      </c>
      <c r="C53" s="13">
        <v>45798</v>
      </c>
      <c r="D53" s="55" t="s">
        <v>82</v>
      </c>
      <c r="E53" s="14">
        <v>-10000</v>
      </c>
      <c r="F53" s="14">
        <v>0</v>
      </c>
      <c r="G53" s="14">
        <v>-10000</v>
      </c>
      <c r="H53" s="15">
        <v>0</v>
      </c>
      <c r="I53" s="12"/>
      <c r="J53" s="12"/>
      <c r="K53" s="51" t="s">
        <v>239</v>
      </c>
      <c r="L53" t="s">
        <v>241</v>
      </c>
      <c r="M53" t="s">
        <v>1</v>
      </c>
    </row>
    <row r="54" spans="1:13" ht="10.95" customHeight="1" x14ac:dyDescent="0.2">
      <c r="A54" s="12" t="s">
        <v>22</v>
      </c>
      <c r="B54" s="12" t="s">
        <v>23</v>
      </c>
      <c r="C54" s="13">
        <v>45798</v>
      </c>
      <c r="D54" s="53" t="s">
        <v>153</v>
      </c>
      <c r="E54" s="14">
        <v>-425.7</v>
      </c>
      <c r="F54" s="14">
        <v>0</v>
      </c>
      <c r="G54" s="14">
        <v>-425.7</v>
      </c>
      <c r="H54" s="15">
        <v>0</v>
      </c>
      <c r="I54" s="12" t="s">
        <v>24</v>
      </c>
      <c r="J54" s="12"/>
      <c r="K54" s="51"/>
    </row>
    <row r="55" spans="1:13" ht="10.95" customHeight="1" x14ac:dyDescent="0.2">
      <c r="A55" s="12" t="s">
        <v>22</v>
      </c>
      <c r="B55" s="12" t="s">
        <v>23</v>
      </c>
      <c r="C55" s="13">
        <v>45798</v>
      </c>
      <c r="D55" s="53" t="s">
        <v>154</v>
      </c>
      <c r="E55" s="14">
        <v>-425.7</v>
      </c>
      <c r="F55" s="14">
        <v>0</v>
      </c>
      <c r="G55" s="14">
        <v>-425.7</v>
      </c>
      <c r="H55" s="15">
        <v>0</v>
      </c>
      <c r="I55" s="12" t="s">
        <v>24</v>
      </c>
      <c r="J55" s="12"/>
      <c r="K55" s="51"/>
    </row>
    <row r="56" spans="1:13" ht="10.95" customHeight="1" x14ac:dyDescent="0.2">
      <c r="A56" s="12" t="s">
        <v>22</v>
      </c>
      <c r="B56" s="12" t="s">
        <v>23</v>
      </c>
      <c r="C56" s="13">
        <v>45798</v>
      </c>
      <c r="D56" s="53" t="s">
        <v>155</v>
      </c>
      <c r="E56" s="14">
        <v>-520.20000000000005</v>
      </c>
      <c r="F56" s="14">
        <v>0</v>
      </c>
      <c r="G56" s="14">
        <v>-520.20000000000005</v>
      </c>
      <c r="H56" s="15">
        <v>0</v>
      </c>
      <c r="I56" s="12" t="s">
        <v>24</v>
      </c>
      <c r="J56" s="12"/>
      <c r="K56" s="51"/>
    </row>
    <row r="57" spans="1:13" ht="10.95" customHeight="1" x14ac:dyDescent="0.2">
      <c r="A57" s="12" t="s">
        <v>83</v>
      </c>
      <c r="B57" s="12" t="s">
        <v>84</v>
      </c>
      <c r="C57" s="13">
        <v>45798</v>
      </c>
      <c r="D57" s="12" t="s">
        <v>156</v>
      </c>
      <c r="E57" s="14">
        <v>249.5</v>
      </c>
      <c r="F57" s="14">
        <v>41.58</v>
      </c>
      <c r="G57" s="14">
        <v>207.92</v>
      </c>
      <c r="H57" s="15">
        <v>20</v>
      </c>
      <c r="I57" s="12" t="s">
        <v>39</v>
      </c>
      <c r="J57" s="12"/>
      <c r="K57" s="51"/>
    </row>
    <row r="58" spans="1:13" ht="10.95" customHeight="1" x14ac:dyDescent="0.2">
      <c r="A58" s="12" t="s">
        <v>85</v>
      </c>
      <c r="B58" s="12" t="s">
        <v>86</v>
      </c>
      <c r="C58" s="13">
        <v>45798</v>
      </c>
      <c r="D58" s="12" t="s">
        <v>87</v>
      </c>
      <c r="E58" s="14">
        <v>95.84</v>
      </c>
      <c r="F58" s="14">
        <v>4.5599999999999996</v>
      </c>
      <c r="G58" s="14">
        <v>91.28</v>
      </c>
      <c r="H58" s="15">
        <v>5</v>
      </c>
      <c r="I58" s="12" t="s">
        <v>36</v>
      </c>
      <c r="J58" s="12"/>
      <c r="K58" s="51"/>
    </row>
    <row r="59" spans="1:13" ht="10.95" customHeight="1" x14ac:dyDescent="0.2">
      <c r="A59" s="12" t="s">
        <v>88</v>
      </c>
      <c r="B59" s="12" t="s">
        <v>89</v>
      </c>
      <c r="C59" s="13">
        <v>45798</v>
      </c>
      <c r="D59" s="12" t="s">
        <v>90</v>
      </c>
      <c r="E59" s="14">
        <v>29.62</v>
      </c>
      <c r="F59" s="14">
        <v>0</v>
      </c>
      <c r="G59" s="14">
        <v>29.62</v>
      </c>
      <c r="H59" s="15">
        <v>0</v>
      </c>
      <c r="I59" s="12" t="s">
        <v>16</v>
      </c>
      <c r="J59" s="12"/>
      <c r="K59" s="51"/>
    </row>
    <row r="60" spans="1:13" ht="10.95" customHeight="1" x14ac:dyDescent="0.2">
      <c r="A60" s="12" t="s">
        <v>91</v>
      </c>
      <c r="B60" s="12" t="s">
        <v>92</v>
      </c>
      <c r="C60" s="13">
        <v>45800</v>
      </c>
      <c r="D60" s="53" t="s">
        <v>157</v>
      </c>
      <c r="E60" s="14">
        <v>-20</v>
      </c>
      <c r="F60" s="14">
        <v>0</v>
      </c>
      <c r="G60" s="14">
        <v>-20</v>
      </c>
      <c r="H60" s="15">
        <v>0</v>
      </c>
      <c r="I60" s="12" t="s">
        <v>16</v>
      </c>
      <c r="J60" s="12"/>
      <c r="K60" s="51"/>
    </row>
    <row r="61" spans="1:13" ht="10.95" customHeight="1" x14ac:dyDescent="0.2">
      <c r="A61" s="12" t="s">
        <v>93</v>
      </c>
      <c r="B61" s="12" t="s">
        <v>94</v>
      </c>
      <c r="C61" s="13">
        <v>45800</v>
      </c>
      <c r="D61" s="12" t="s">
        <v>95</v>
      </c>
      <c r="E61" s="14">
        <v>5.55</v>
      </c>
      <c r="F61" s="14">
        <v>0</v>
      </c>
      <c r="G61" s="14">
        <v>5.55</v>
      </c>
      <c r="H61" s="15">
        <v>0</v>
      </c>
      <c r="I61" s="12" t="s">
        <v>16</v>
      </c>
      <c r="J61" s="12"/>
      <c r="K61" s="51"/>
    </row>
    <row r="62" spans="1:13" ht="10.95" customHeight="1" x14ac:dyDescent="0.2">
      <c r="A62" s="12" t="s">
        <v>96</v>
      </c>
      <c r="B62" s="12" t="s">
        <v>97</v>
      </c>
      <c r="C62" s="13">
        <v>45800</v>
      </c>
      <c r="D62" s="12" t="s">
        <v>158</v>
      </c>
      <c r="E62" s="14">
        <v>157.38</v>
      </c>
      <c r="F62" s="14">
        <v>0</v>
      </c>
      <c r="G62" s="14">
        <v>157.38</v>
      </c>
      <c r="H62" s="15">
        <v>0</v>
      </c>
      <c r="I62" s="12" t="s">
        <v>16</v>
      </c>
      <c r="J62" s="12"/>
      <c r="K62" s="51"/>
    </row>
    <row r="63" spans="1:13" ht="10.95" customHeight="1" x14ac:dyDescent="0.2">
      <c r="A63" s="12" t="s">
        <v>96</v>
      </c>
      <c r="B63" s="12" t="s">
        <v>97</v>
      </c>
      <c r="C63" s="13">
        <v>45800</v>
      </c>
      <c r="D63" s="12" t="s">
        <v>159</v>
      </c>
      <c r="E63" s="14">
        <v>242</v>
      </c>
      <c r="F63" s="14">
        <v>0</v>
      </c>
      <c r="G63" s="14">
        <v>242</v>
      </c>
      <c r="H63" s="15">
        <v>0</v>
      </c>
      <c r="I63" s="12" t="s">
        <v>16</v>
      </c>
      <c r="J63" s="12"/>
      <c r="K63" s="51"/>
    </row>
    <row r="64" spans="1:13" ht="10.95" customHeight="1" x14ac:dyDescent="0.2">
      <c r="A64" s="12" t="s">
        <v>98</v>
      </c>
      <c r="B64" s="12" t="s">
        <v>99</v>
      </c>
      <c r="C64" s="13">
        <v>45804</v>
      </c>
      <c r="D64" s="12" t="s">
        <v>160</v>
      </c>
      <c r="E64" s="14">
        <v>270</v>
      </c>
      <c r="F64" s="14">
        <v>45</v>
      </c>
      <c r="G64" s="14">
        <v>225</v>
      </c>
      <c r="H64" s="15">
        <v>20</v>
      </c>
      <c r="I64" s="12" t="s">
        <v>39</v>
      </c>
      <c r="J64" s="12"/>
      <c r="K64" s="51" t="s">
        <v>239</v>
      </c>
      <c r="L64" t="s">
        <v>240</v>
      </c>
      <c r="M64" t="s">
        <v>248</v>
      </c>
    </row>
    <row r="65" spans="1:13" ht="10.95" customHeight="1" x14ac:dyDescent="0.2">
      <c r="A65" s="12" t="s">
        <v>98</v>
      </c>
      <c r="B65" s="12" t="s">
        <v>99</v>
      </c>
      <c r="C65" s="13">
        <v>45804</v>
      </c>
      <c r="D65" s="12" t="s">
        <v>161</v>
      </c>
      <c r="E65" s="14">
        <v>210</v>
      </c>
      <c r="F65" s="14">
        <v>35</v>
      </c>
      <c r="G65" s="14">
        <v>175</v>
      </c>
      <c r="H65" s="15">
        <v>20</v>
      </c>
      <c r="I65" s="12" t="s">
        <v>39</v>
      </c>
      <c r="J65" s="12"/>
      <c r="K65" s="51" t="s">
        <v>239</v>
      </c>
      <c r="L65" t="s">
        <v>240</v>
      </c>
      <c r="M65" t="s">
        <v>248</v>
      </c>
    </row>
    <row r="66" spans="1:13" ht="10.95" customHeight="1" x14ac:dyDescent="0.2">
      <c r="A66" s="12" t="s">
        <v>98</v>
      </c>
      <c r="B66" s="12" t="s">
        <v>99</v>
      </c>
      <c r="C66" s="13">
        <v>45804</v>
      </c>
      <c r="D66" s="12" t="s">
        <v>162</v>
      </c>
      <c r="E66" s="14">
        <v>330</v>
      </c>
      <c r="F66" s="14">
        <v>55</v>
      </c>
      <c r="G66" s="14">
        <v>275</v>
      </c>
      <c r="H66" s="15">
        <v>20</v>
      </c>
      <c r="I66" s="12" t="s">
        <v>39</v>
      </c>
      <c r="J66" s="12"/>
      <c r="K66" s="51" t="s">
        <v>239</v>
      </c>
      <c r="L66" t="s">
        <v>240</v>
      </c>
      <c r="M66" t="s">
        <v>248</v>
      </c>
    </row>
    <row r="67" spans="1:13" ht="10.95" customHeight="1" x14ac:dyDescent="0.2">
      <c r="A67" s="12" t="s">
        <v>98</v>
      </c>
      <c r="B67" s="12" t="s">
        <v>99</v>
      </c>
      <c r="C67" s="13">
        <v>45804</v>
      </c>
      <c r="D67" s="12" t="s">
        <v>163</v>
      </c>
      <c r="E67" s="14">
        <v>270</v>
      </c>
      <c r="F67" s="14">
        <v>45</v>
      </c>
      <c r="G67" s="14">
        <v>225</v>
      </c>
      <c r="H67" s="15">
        <v>20</v>
      </c>
      <c r="I67" s="12" t="s">
        <v>39</v>
      </c>
      <c r="J67" s="12"/>
      <c r="K67" s="51" t="s">
        <v>239</v>
      </c>
      <c r="L67" t="s">
        <v>240</v>
      </c>
      <c r="M67" t="s">
        <v>248</v>
      </c>
    </row>
    <row r="68" spans="1:13" ht="10.95" customHeight="1" x14ac:dyDescent="0.2">
      <c r="A68" s="12" t="s">
        <v>100</v>
      </c>
      <c r="B68" s="12" t="s">
        <v>101</v>
      </c>
      <c r="C68" s="13">
        <v>45804</v>
      </c>
      <c r="D68" s="12" t="s">
        <v>102</v>
      </c>
      <c r="E68" s="14">
        <v>374</v>
      </c>
      <c r="F68" s="14">
        <v>0</v>
      </c>
      <c r="G68" s="14">
        <v>374</v>
      </c>
      <c r="H68" s="15">
        <v>0</v>
      </c>
      <c r="I68" s="12" t="s">
        <v>16</v>
      </c>
      <c r="J68" s="12"/>
      <c r="K68" s="51"/>
    </row>
    <row r="69" spans="1:13" ht="10.95" customHeight="1" x14ac:dyDescent="0.2">
      <c r="A69" s="12" t="s">
        <v>74</v>
      </c>
      <c r="B69" s="12" t="s">
        <v>75</v>
      </c>
      <c r="C69" s="13">
        <v>45805</v>
      </c>
      <c r="D69" s="12" t="s">
        <v>103</v>
      </c>
      <c r="E69" s="14">
        <v>39.6</v>
      </c>
      <c r="F69" s="14">
        <v>0</v>
      </c>
      <c r="G69" s="14">
        <v>39.6</v>
      </c>
      <c r="H69" s="15">
        <v>0</v>
      </c>
      <c r="I69" s="12" t="s">
        <v>16</v>
      </c>
      <c r="J69" s="12"/>
      <c r="K69" s="51"/>
    </row>
    <row r="70" spans="1:13" ht="10.95" customHeight="1" x14ac:dyDescent="0.2">
      <c r="A70" s="12" t="s">
        <v>37</v>
      </c>
      <c r="B70" s="12" t="s">
        <v>38</v>
      </c>
      <c r="C70" s="13">
        <v>45805</v>
      </c>
      <c r="D70" s="12" t="s">
        <v>104</v>
      </c>
      <c r="E70" s="14">
        <v>33.299999999999997</v>
      </c>
      <c r="F70" s="14">
        <v>5.55</v>
      </c>
      <c r="G70" s="14">
        <v>27.75</v>
      </c>
      <c r="H70" s="15">
        <v>20</v>
      </c>
      <c r="I70" s="12" t="s">
        <v>39</v>
      </c>
      <c r="J70" s="12"/>
      <c r="K70" s="51"/>
    </row>
    <row r="71" spans="1:13" ht="10.95" customHeight="1" x14ac:dyDescent="0.2">
      <c r="A71" s="12" t="s">
        <v>43</v>
      </c>
      <c r="B71" s="12" t="s">
        <v>44</v>
      </c>
      <c r="C71" s="13">
        <v>45805</v>
      </c>
      <c r="D71" s="12" t="s">
        <v>105</v>
      </c>
      <c r="E71" s="14">
        <v>209.4</v>
      </c>
      <c r="F71" s="14">
        <v>34.9</v>
      </c>
      <c r="G71" s="14">
        <v>174.5</v>
      </c>
      <c r="H71" s="15">
        <v>20</v>
      </c>
      <c r="I71" s="12" t="s">
        <v>39</v>
      </c>
      <c r="J71" s="12"/>
      <c r="K71" s="51"/>
    </row>
    <row r="72" spans="1:13" ht="10.95" customHeight="1" x14ac:dyDescent="0.2">
      <c r="A72" s="12" t="s">
        <v>106</v>
      </c>
      <c r="B72" s="12" t="s">
        <v>107</v>
      </c>
      <c r="C72" s="13">
        <v>45807</v>
      </c>
      <c r="D72" s="12" t="s">
        <v>246</v>
      </c>
      <c r="E72" s="14">
        <v>3360</v>
      </c>
      <c r="F72" s="14">
        <v>0</v>
      </c>
      <c r="G72" s="14">
        <v>3360</v>
      </c>
      <c r="H72" s="15">
        <v>0</v>
      </c>
      <c r="I72" s="12" t="s">
        <v>16</v>
      </c>
      <c r="J72" s="12"/>
      <c r="K72" s="51" t="s">
        <v>239</v>
      </c>
      <c r="L72" t="s">
        <v>241</v>
      </c>
      <c r="M72" s="27" t="s">
        <v>245</v>
      </c>
    </row>
    <row r="73" spans="1:13" ht="10.95" customHeight="1" x14ac:dyDescent="0.2">
      <c r="A73" s="12" t="s">
        <v>108</v>
      </c>
      <c r="B73" s="12" t="s">
        <v>109</v>
      </c>
      <c r="C73" s="13">
        <v>45807</v>
      </c>
      <c r="D73" s="12" t="s">
        <v>164</v>
      </c>
      <c r="E73" s="14">
        <v>1088.55</v>
      </c>
      <c r="F73" s="14">
        <v>0</v>
      </c>
      <c r="G73" s="14">
        <v>1088.55</v>
      </c>
      <c r="H73" s="15">
        <v>0</v>
      </c>
      <c r="I73" s="12" t="s">
        <v>16</v>
      </c>
      <c r="J73" s="12"/>
      <c r="K73" s="51" t="s">
        <v>239</v>
      </c>
      <c r="L73" t="s">
        <v>241</v>
      </c>
      <c r="M73" t="s">
        <v>244</v>
      </c>
    </row>
    <row r="74" spans="1:13" ht="10.95" customHeight="1" x14ac:dyDescent="0.2">
      <c r="A74" s="12" t="s">
        <v>72</v>
      </c>
      <c r="B74" s="12" t="s">
        <v>73</v>
      </c>
      <c r="C74" s="13">
        <v>45808</v>
      </c>
      <c r="D74" s="12" t="s">
        <v>110</v>
      </c>
      <c r="E74" s="14">
        <v>6</v>
      </c>
      <c r="F74" s="14">
        <v>0</v>
      </c>
      <c r="G74" s="14">
        <v>6</v>
      </c>
      <c r="H74" s="15">
        <v>0</v>
      </c>
      <c r="I74" s="12" t="s">
        <v>16</v>
      </c>
      <c r="J74" s="12"/>
    </row>
    <row r="75" spans="1:13" ht="10.95" customHeight="1" x14ac:dyDescent="0.2">
      <c r="A75" s="12" t="s">
        <v>72</v>
      </c>
      <c r="B75" s="12" t="s">
        <v>73</v>
      </c>
      <c r="C75" s="13">
        <v>45808</v>
      </c>
      <c r="D75" s="12" t="s">
        <v>111</v>
      </c>
      <c r="E75" s="14">
        <v>5.55</v>
      </c>
      <c r="F75" s="14">
        <v>0</v>
      </c>
      <c r="G75" s="14">
        <v>5.55</v>
      </c>
      <c r="H75" s="15">
        <v>0</v>
      </c>
      <c r="I75" s="12" t="s">
        <v>16</v>
      </c>
      <c r="J75" s="12"/>
    </row>
    <row r="76" spans="1:13" ht="10.95" customHeight="1" x14ac:dyDescent="0.2">
      <c r="A76" s="12" t="s">
        <v>108</v>
      </c>
      <c r="B76" s="12" t="s">
        <v>109</v>
      </c>
      <c r="C76" s="13">
        <v>45808</v>
      </c>
      <c r="D76" s="54" t="s">
        <v>169</v>
      </c>
      <c r="E76" s="14">
        <v>-1088.55</v>
      </c>
      <c r="F76" s="14">
        <v>0</v>
      </c>
      <c r="G76" s="14">
        <v>-1088.55</v>
      </c>
      <c r="H76" s="15">
        <v>0</v>
      </c>
      <c r="I76" s="12" t="s">
        <v>16</v>
      </c>
      <c r="J76" s="12"/>
    </row>
    <row r="77" spans="1:13" ht="10.95" customHeight="1" x14ac:dyDescent="0.2">
      <c r="A77" s="12" t="s">
        <v>106</v>
      </c>
      <c r="B77" s="12" t="s">
        <v>107</v>
      </c>
      <c r="C77" s="13">
        <v>45808</v>
      </c>
      <c r="D77" s="54" t="s">
        <v>170</v>
      </c>
      <c r="E77" s="14">
        <v>-3360</v>
      </c>
      <c r="F77" s="14">
        <v>0</v>
      </c>
      <c r="G77" s="14">
        <v>-3360</v>
      </c>
      <c r="H77" s="15">
        <v>0</v>
      </c>
      <c r="I77" s="12" t="s">
        <v>16</v>
      </c>
      <c r="J77" s="12"/>
    </row>
    <row r="78" spans="1:13" ht="10.95" customHeight="1" x14ac:dyDescent="0.2">
      <c r="A78" s="12" t="s">
        <v>96</v>
      </c>
      <c r="B78" s="12" t="s">
        <v>97</v>
      </c>
      <c r="C78" s="13">
        <v>45808</v>
      </c>
      <c r="D78" s="54" t="s">
        <v>171</v>
      </c>
      <c r="E78" s="14">
        <v>-399.38</v>
      </c>
      <c r="F78" s="14">
        <v>0</v>
      </c>
      <c r="G78" s="14">
        <v>-399.38</v>
      </c>
      <c r="H78" s="15">
        <v>0</v>
      </c>
      <c r="I78" s="12" t="s">
        <v>16</v>
      </c>
      <c r="J78" s="12"/>
    </row>
    <row r="79" spans="1:13" ht="10.95" customHeight="1" x14ac:dyDescent="0.2">
      <c r="A79" s="12" t="s">
        <v>165</v>
      </c>
      <c r="B79" s="12" t="s">
        <v>166</v>
      </c>
      <c r="C79" s="13">
        <v>45808</v>
      </c>
      <c r="D79" s="54" t="s">
        <v>172</v>
      </c>
      <c r="E79" s="14">
        <v>4187.5200000000004</v>
      </c>
      <c r="F79" s="14">
        <v>0</v>
      </c>
      <c r="G79" s="14">
        <v>4187.5200000000004</v>
      </c>
      <c r="H79" s="15">
        <v>0</v>
      </c>
      <c r="I79" s="12" t="s">
        <v>16</v>
      </c>
      <c r="J79" s="12"/>
    </row>
    <row r="80" spans="1:13" ht="10.95" customHeight="1" x14ac:dyDescent="0.2">
      <c r="A80" s="12" t="s">
        <v>165</v>
      </c>
      <c r="B80" s="12" t="s">
        <v>166</v>
      </c>
      <c r="C80" s="13">
        <v>45808</v>
      </c>
      <c r="D80" s="54" t="s">
        <v>173</v>
      </c>
      <c r="E80" s="14">
        <v>503.03</v>
      </c>
      <c r="F80" s="14">
        <v>0</v>
      </c>
      <c r="G80" s="14">
        <v>503.03</v>
      </c>
      <c r="H80" s="15">
        <v>0</v>
      </c>
      <c r="I80" s="12" t="s">
        <v>16</v>
      </c>
      <c r="J80" s="12"/>
    </row>
    <row r="81" spans="1:13" ht="10.95" customHeight="1" x14ac:dyDescent="0.2">
      <c r="A81" s="12" t="s">
        <v>167</v>
      </c>
      <c r="B81" s="12" t="s">
        <v>168</v>
      </c>
      <c r="C81" s="13">
        <v>45808</v>
      </c>
      <c r="D81" s="54" t="s">
        <v>174</v>
      </c>
      <c r="E81" s="14">
        <v>157.38</v>
      </c>
      <c r="F81" s="14">
        <v>0</v>
      </c>
      <c r="G81" s="14">
        <v>157.38</v>
      </c>
      <c r="H81" s="15">
        <v>0</v>
      </c>
      <c r="I81" s="12" t="s">
        <v>16</v>
      </c>
      <c r="J81" s="12"/>
    </row>
    <row r="82" spans="1:13" ht="10.95" customHeight="1" x14ac:dyDescent="0.2">
      <c r="A82" s="17" t="s">
        <v>112</v>
      </c>
      <c r="B82" s="17"/>
      <c r="C82" s="17"/>
      <c r="D82" s="17"/>
      <c r="E82" s="18">
        <f>SUM(E6:E81)</f>
        <v>-1149.3799999999992</v>
      </c>
      <c r="F82" s="18">
        <f t="shared" ref="F82:G82" si="0">SUM(F6:F81)</f>
        <v>893.43999999999994</v>
      </c>
      <c r="G82" s="18">
        <f t="shared" si="0"/>
        <v>-2042.8199999999997</v>
      </c>
      <c r="H82" s="17"/>
      <c r="I82" s="17"/>
      <c r="J82" s="17"/>
    </row>
    <row r="84" spans="1:13" ht="12" x14ac:dyDescent="0.2">
      <c r="D84" s="19" t="s">
        <v>175</v>
      </c>
      <c r="E84" s="20"/>
      <c r="F84" s="20"/>
    </row>
    <row r="85" spans="1:13" x14ac:dyDescent="0.2">
      <c r="D85" s="8" t="s">
        <v>176</v>
      </c>
    </row>
    <row r="87" spans="1:13" x14ac:dyDescent="0.2">
      <c r="D87" s="21" t="s">
        <v>177</v>
      </c>
      <c r="E87" s="8"/>
      <c r="G87" s="22" t="s">
        <v>475</v>
      </c>
      <c r="J87" s="23">
        <v>12159.35</v>
      </c>
    </row>
    <row r="88" spans="1:13" x14ac:dyDescent="0.2">
      <c r="D88" s="24" t="s">
        <v>178</v>
      </c>
      <c r="E88" s="8"/>
      <c r="F88" s="8"/>
      <c r="G88" s="22" t="s">
        <v>476</v>
      </c>
      <c r="J88" s="25">
        <v>0</v>
      </c>
    </row>
    <row r="89" spans="1:13" x14ac:dyDescent="0.2">
      <c r="D89" s="26" t="s">
        <v>179</v>
      </c>
      <c r="E89" s="8"/>
      <c r="G89" s="27" t="s">
        <v>477</v>
      </c>
      <c r="J89" s="25">
        <v>461385.62</v>
      </c>
    </row>
    <row r="90" spans="1:13" x14ac:dyDescent="0.2">
      <c r="D90" s="28" t="s">
        <v>180</v>
      </c>
      <c r="E90" s="8"/>
      <c r="F90" s="8"/>
      <c r="G90" s="22" t="s">
        <v>478</v>
      </c>
      <c r="J90" s="23">
        <v>2106.7199999999998</v>
      </c>
    </row>
    <row r="91" spans="1:13" ht="13.2" x14ac:dyDescent="0.2">
      <c r="D91" s="29" t="s">
        <v>181</v>
      </c>
      <c r="E91" s="8"/>
      <c r="F91" s="30">
        <v>1</v>
      </c>
      <c r="G91" s="31" t="s">
        <v>479</v>
      </c>
      <c r="J91" s="32">
        <f>SUM(J87:J90)</f>
        <v>475651.68999999994</v>
      </c>
    </row>
    <row r="92" spans="1:13" x14ac:dyDescent="0.2">
      <c r="D92" s="33" t="s">
        <v>182</v>
      </c>
      <c r="E92" s="8"/>
      <c r="F92" s="8"/>
      <c r="G92" s="8"/>
      <c r="J92" s="8"/>
    </row>
    <row r="93" spans="1:13" x14ac:dyDescent="0.2">
      <c r="D93" s="56" t="s">
        <v>183</v>
      </c>
      <c r="E93" s="8"/>
      <c r="F93" s="34"/>
      <c r="G93" s="8" t="s">
        <v>184</v>
      </c>
    </row>
    <row r="94" spans="1:13" ht="13.2" x14ac:dyDescent="0.2">
      <c r="D94" s="8"/>
      <c r="E94" s="8"/>
      <c r="F94" s="8" t="s">
        <v>185</v>
      </c>
      <c r="G94" s="31" t="s">
        <v>186</v>
      </c>
      <c r="J94" s="35"/>
      <c r="K94" s="36" t="s">
        <v>187</v>
      </c>
    </row>
    <row r="95" spans="1:13" x14ac:dyDescent="0.2">
      <c r="D95" s="8"/>
      <c r="E95" s="8"/>
      <c r="F95" s="37" t="s">
        <v>188</v>
      </c>
      <c r="G95" s="22" t="s">
        <v>189</v>
      </c>
      <c r="J95" s="38">
        <f>168146.1+10000+1534.82+1503.16</f>
        <v>181184.08000000002</v>
      </c>
      <c r="K95" s="44" t="s">
        <v>481</v>
      </c>
      <c r="L95" s="27"/>
    </row>
    <row r="96" spans="1:13" x14ac:dyDescent="0.2">
      <c r="D96" s="8"/>
      <c r="E96" s="8"/>
      <c r="F96" s="37" t="s">
        <v>191</v>
      </c>
      <c r="G96" s="8" t="s">
        <v>192</v>
      </c>
      <c r="J96" s="42">
        <f>37500-108-1095+5000</f>
        <v>41297</v>
      </c>
      <c r="K96" s="43" t="s">
        <v>197</v>
      </c>
      <c r="L96" s="27"/>
      <c r="M96" s="40"/>
    </row>
    <row r="97" spans="4:12" x14ac:dyDescent="0.2">
      <c r="D97" s="8"/>
      <c r="E97" s="8"/>
      <c r="F97" s="37" t="s">
        <v>193</v>
      </c>
      <c r="G97" s="8" t="s">
        <v>194</v>
      </c>
      <c r="J97" s="42">
        <f>37500-966+5000</f>
        <v>41534</v>
      </c>
      <c r="K97" s="43" t="s">
        <v>197</v>
      </c>
      <c r="L97" s="27"/>
    </row>
    <row r="98" spans="4:12" x14ac:dyDescent="0.2">
      <c r="D98" s="8"/>
      <c r="E98" s="8"/>
      <c r="F98" s="41" t="s">
        <v>195</v>
      </c>
      <c r="G98" s="8" t="s">
        <v>196</v>
      </c>
      <c r="J98" s="42">
        <f>10000-3230.84-100+156</f>
        <v>6825.16</v>
      </c>
      <c r="K98" s="43" t="s">
        <v>197</v>
      </c>
      <c r="L98" s="27"/>
    </row>
    <row r="99" spans="4:12" x14ac:dyDescent="0.2">
      <c r="E99" s="8"/>
      <c r="F99" s="41" t="s">
        <v>198</v>
      </c>
      <c r="G99" s="8" t="s">
        <v>199</v>
      </c>
      <c r="J99" s="38">
        <f>3090-1422.9-320+320-1464.14-202.96</f>
        <v>0</v>
      </c>
      <c r="K99" s="44" t="s">
        <v>249</v>
      </c>
      <c r="L99" s="27"/>
    </row>
    <row r="100" spans="4:12" x14ac:dyDescent="0.2">
      <c r="D100" s="8"/>
      <c r="E100" s="8"/>
      <c r="F100" s="41" t="s">
        <v>201</v>
      </c>
      <c r="G100" s="109" t="s">
        <v>202</v>
      </c>
      <c r="H100" s="110"/>
      <c r="I100" s="110"/>
      <c r="J100" s="111">
        <f>3200+3700-50-4035-50-62.5</f>
        <v>2702.5</v>
      </c>
      <c r="K100" s="43" t="s">
        <v>197</v>
      </c>
      <c r="L100" s="27"/>
    </row>
    <row r="101" spans="4:12" x14ac:dyDescent="0.2">
      <c r="D101" s="8"/>
      <c r="E101" s="8"/>
      <c r="F101" s="41" t="s">
        <v>203</v>
      </c>
      <c r="G101" s="112" t="s">
        <v>204</v>
      </c>
      <c r="H101" s="110"/>
      <c r="I101" s="110"/>
      <c r="J101" s="111">
        <f>500+1000+1000+1000</f>
        <v>3500</v>
      </c>
      <c r="K101" s="43" t="s">
        <v>197</v>
      </c>
      <c r="L101" s="27"/>
    </row>
    <row r="102" spans="4:12" x14ac:dyDescent="0.2">
      <c r="D102" s="8"/>
      <c r="E102" s="8"/>
      <c r="F102" s="41" t="s">
        <v>206</v>
      </c>
      <c r="G102" s="112" t="s">
        <v>207</v>
      </c>
      <c r="H102" s="113"/>
      <c r="I102" s="113"/>
      <c r="J102" s="111">
        <f>450+50+100+50-100+100+50+50</f>
        <v>750</v>
      </c>
      <c r="K102" s="43" t="s">
        <v>197</v>
      </c>
      <c r="L102" s="27"/>
    </row>
    <row r="103" spans="4:12" x14ac:dyDescent="0.2">
      <c r="D103" s="8"/>
      <c r="E103" s="8"/>
      <c r="F103" s="41" t="s">
        <v>209</v>
      </c>
      <c r="G103" s="112" t="s">
        <v>210</v>
      </c>
      <c r="H103" s="113"/>
      <c r="I103" s="113"/>
      <c r="J103" s="111">
        <f>62030.3+0.2-763.95</f>
        <v>61266.55</v>
      </c>
      <c r="K103" s="43" t="s">
        <v>197</v>
      </c>
      <c r="L103" s="27"/>
    </row>
    <row r="104" spans="4:12" x14ac:dyDescent="0.2">
      <c r="D104" s="8"/>
      <c r="E104" s="8"/>
      <c r="F104" s="41" t="s">
        <v>211</v>
      </c>
      <c r="G104" s="22" t="s">
        <v>212</v>
      </c>
      <c r="J104" s="42">
        <v>3555.91</v>
      </c>
      <c r="K104" s="43" t="s">
        <v>197</v>
      </c>
      <c r="L104" s="27"/>
    </row>
    <row r="105" spans="4:12" x14ac:dyDescent="0.2">
      <c r="D105" s="8"/>
      <c r="E105" s="8"/>
      <c r="F105" s="41" t="s">
        <v>213</v>
      </c>
      <c r="G105" s="22" t="s">
        <v>214</v>
      </c>
      <c r="J105" s="42">
        <v>3000</v>
      </c>
      <c r="K105" s="43" t="s">
        <v>197</v>
      </c>
      <c r="L105" s="27"/>
    </row>
    <row r="106" spans="4:12" x14ac:dyDescent="0.2">
      <c r="D106" s="8"/>
      <c r="E106" s="8"/>
      <c r="F106" s="41" t="s">
        <v>216</v>
      </c>
      <c r="G106" s="22" t="s">
        <v>217</v>
      </c>
      <c r="J106" s="42">
        <v>3000</v>
      </c>
      <c r="K106" s="43" t="s">
        <v>197</v>
      </c>
      <c r="L106" s="27"/>
    </row>
    <row r="107" spans="4:12" x14ac:dyDescent="0.2">
      <c r="D107" s="8"/>
      <c r="E107" s="8"/>
      <c r="F107" s="41" t="s">
        <v>218</v>
      </c>
      <c r="G107" s="22" t="s">
        <v>219</v>
      </c>
      <c r="J107" s="42">
        <v>2000</v>
      </c>
      <c r="K107" s="43" t="s">
        <v>197</v>
      </c>
      <c r="L107" s="27"/>
    </row>
    <row r="108" spans="4:12" ht="13.2" x14ac:dyDescent="0.2">
      <c r="D108" s="8"/>
      <c r="E108" s="8"/>
      <c r="F108" s="45">
        <v>2</v>
      </c>
      <c r="G108" s="45" t="s">
        <v>221</v>
      </c>
      <c r="J108" s="32">
        <f>SUM(J95:J107)</f>
        <v>350615.19999999995</v>
      </c>
      <c r="K108" s="36" t="s">
        <v>222</v>
      </c>
    </row>
    <row r="109" spans="4:12" x14ac:dyDescent="0.2">
      <c r="D109" s="8"/>
      <c r="E109" s="8"/>
      <c r="F109" s="8"/>
      <c r="G109" s="8"/>
      <c r="J109" s="46" t="s">
        <v>184</v>
      </c>
      <c r="K109" s="47"/>
    </row>
    <row r="110" spans="4:12" ht="13.2" x14ac:dyDescent="0.25">
      <c r="F110" s="45">
        <v>3</v>
      </c>
      <c r="G110" s="45" t="s">
        <v>223</v>
      </c>
      <c r="H110" s="48"/>
      <c r="J110" s="32">
        <f>SUM('Budget in Xero'!D124:G124)</f>
        <v>52667</v>
      </c>
      <c r="K110" s="36" t="s">
        <v>224</v>
      </c>
    </row>
    <row r="111" spans="4:12" ht="13.2" x14ac:dyDescent="0.2">
      <c r="F111" s="45">
        <v>4</v>
      </c>
      <c r="G111" s="45" t="s">
        <v>225</v>
      </c>
      <c r="J111" s="32">
        <f>J91-J108-J110</f>
        <v>72369.489999999991</v>
      </c>
      <c r="K111" s="43" t="s">
        <v>226</v>
      </c>
    </row>
    <row r="112" spans="4:12" ht="13.2" x14ac:dyDescent="0.2">
      <c r="F112" s="45">
        <v>5</v>
      </c>
      <c r="G112" s="45" t="s">
        <v>227</v>
      </c>
      <c r="J112" s="49">
        <f>J108+J111</f>
        <v>422984.68999999994</v>
      </c>
      <c r="K112" s="43" t="s">
        <v>228</v>
      </c>
    </row>
    <row r="114" spans="6:11" ht="13.2" x14ac:dyDescent="0.2">
      <c r="F114" s="45"/>
      <c r="G114" s="49" t="s">
        <v>229</v>
      </c>
      <c r="H114" s="49"/>
      <c r="I114" s="49"/>
      <c r="J114" s="49"/>
      <c r="K114" s="49"/>
    </row>
    <row r="115" spans="6:11" ht="13.2" x14ac:dyDescent="0.2">
      <c r="F115" s="45"/>
      <c r="G115" s="49" t="s">
        <v>230</v>
      </c>
      <c r="H115" s="49"/>
      <c r="I115" s="49"/>
      <c r="J115" s="49">
        <f>159818.579/2</f>
        <v>79909.289499999999</v>
      </c>
      <c r="K115" s="43" t="s">
        <v>231</v>
      </c>
    </row>
    <row r="116" spans="6:11" ht="13.2" x14ac:dyDescent="0.2">
      <c r="F116" s="45"/>
      <c r="G116" s="49" t="s">
        <v>232</v>
      </c>
      <c r="H116" s="49"/>
      <c r="I116" s="49"/>
      <c r="J116" s="49">
        <f>J111-J115</f>
        <v>-7539.7995000000083</v>
      </c>
      <c r="K116" s="43" t="s">
        <v>233</v>
      </c>
    </row>
    <row r="117" spans="6:11" ht="13.2" x14ac:dyDescent="0.2">
      <c r="G117" s="49" t="s">
        <v>234</v>
      </c>
      <c r="J117" s="49">
        <f>J116+14500</f>
        <v>6960.2004999999917</v>
      </c>
      <c r="K117" s="43" t="s">
        <v>235</v>
      </c>
    </row>
    <row r="119" spans="6:11" x14ac:dyDescent="0.2">
      <c r="J119" s="42"/>
    </row>
  </sheetData>
  <phoneticPr fontId="8" type="noConversion"/>
  <pageMargins left="0.7" right="0.7" top="0.75" bottom="0.75" header="0.3" footer="0.3"/>
  <pageSetup paperSize="9" fitToWidth="0" fitToHeight="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09A0-D022-432D-9346-4CA7ADE0DDEC}">
  <dimension ref="A1:O110"/>
  <sheetViews>
    <sheetView topLeftCell="A73" workbookViewId="0">
      <selection activeCell="B101" sqref="B101"/>
    </sheetView>
  </sheetViews>
  <sheetFormatPr defaultColWidth="9" defaultRowHeight="11.4" x14ac:dyDescent="0.2"/>
  <cols>
    <col min="1" max="1" width="13.125" style="64" customWidth="1"/>
    <col min="2" max="2" width="33.25" style="64" bestFit="1" customWidth="1"/>
    <col min="3" max="3" width="12.375" style="64" customWidth="1"/>
    <col min="4" max="5" width="9" style="64"/>
    <col min="6" max="6" width="10.875" style="64" bestFit="1" customWidth="1"/>
    <col min="7" max="8" width="9" style="64"/>
    <col min="9" max="9" width="4.625" style="64" customWidth="1"/>
    <col min="10" max="10" width="13.375" style="72" bestFit="1" customWidth="1"/>
    <col min="11" max="11" width="13.25" style="64" customWidth="1"/>
    <col min="12" max="12" width="27.625" style="64" bestFit="1" customWidth="1"/>
    <col min="13" max="13" width="9.125" style="64" bestFit="1" customWidth="1"/>
    <col min="14" max="14" width="5.125" style="64" bestFit="1" customWidth="1"/>
    <col min="15" max="15" width="9.125" style="64" bestFit="1" customWidth="1"/>
    <col min="16" max="16" width="11.25" style="64" bestFit="1" customWidth="1"/>
    <col min="17" max="17" width="27.625" style="64" bestFit="1" customWidth="1"/>
    <col min="18" max="16384" width="9" style="64"/>
  </cols>
  <sheetData>
    <row r="1" spans="1:5" ht="12" x14ac:dyDescent="0.2">
      <c r="A1" s="59" t="s">
        <v>250</v>
      </c>
      <c r="B1" s="60" t="s">
        <v>186</v>
      </c>
      <c r="C1" s="61" t="s">
        <v>251</v>
      </c>
      <c r="D1" s="62"/>
      <c r="E1" s="63"/>
    </row>
    <row r="2" spans="1:5" x14ac:dyDescent="0.2">
      <c r="A2" s="65" t="s">
        <v>188</v>
      </c>
      <c r="B2" s="66" t="s">
        <v>252</v>
      </c>
      <c r="C2" s="67">
        <v>5673</v>
      </c>
      <c r="D2" s="68" t="s">
        <v>253</v>
      </c>
      <c r="E2" s="63"/>
    </row>
    <row r="3" spans="1:5" x14ac:dyDescent="0.2">
      <c r="A3" s="65" t="s">
        <v>191</v>
      </c>
      <c r="B3" s="66" t="s">
        <v>189</v>
      </c>
      <c r="C3" s="67">
        <v>108972.7</v>
      </c>
      <c r="D3" s="68" t="s">
        <v>253</v>
      </c>
      <c r="E3" s="63"/>
    </row>
    <row r="4" spans="1:5" x14ac:dyDescent="0.2">
      <c r="A4" s="65" t="s">
        <v>193</v>
      </c>
      <c r="B4" s="62" t="s">
        <v>192</v>
      </c>
      <c r="C4" s="67">
        <v>37500</v>
      </c>
      <c r="D4" s="68" t="s">
        <v>253</v>
      </c>
      <c r="E4" s="63"/>
    </row>
    <row r="5" spans="1:5" x14ac:dyDescent="0.2">
      <c r="A5" s="65" t="s">
        <v>195</v>
      </c>
      <c r="B5" s="62" t="s">
        <v>194</v>
      </c>
      <c r="C5" s="67">
        <v>37500</v>
      </c>
      <c r="D5" s="68" t="s">
        <v>253</v>
      </c>
      <c r="E5" s="62"/>
    </row>
    <row r="6" spans="1:5" x14ac:dyDescent="0.2">
      <c r="A6" s="65" t="s">
        <v>198</v>
      </c>
      <c r="B6" s="62" t="s">
        <v>196</v>
      </c>
      <c r="C6" s="67">
        <v>10000</v>
      </c>
      <c r="D6" s="68" t="s">
        <v>253</v>
      </c>
      <c r="E6" s="62"/>
    </row>
    <row r="7" spans="1:5" x14ac:dyDescent="0.2">
      <c r="A7" s="65" t="s">
        <v>201</v>
      </c>
      <c r="B7" s="62" t="s">
        <v>199</v>
      </c>
      <c r="C7" s="67">
        <v>0</v>
      </c>
      <c r="D7" s="68" t="s">
        <v>254</v>
      </c>
      <c r="E7" s="62"/>
    </row>
    <row r="8" spans="1:5" x14ac:dyDescent="0.2">
      <c r="A8" s="65" t="s">
        <v>203</v>
      </c>
      <c r="B8" s="62" t="s">
        <v>202</v>
      </c>
      <c r="C8" s="67">
        <v>3200</v>
      </c>
      <c r="D8" s="68" t="s">
        <v>253</v>
      </c>
      <c r="E8" s="63"/>
    </row>
    <row r="9" spans="1:5" x14ac:dyDescent="0.2">
      <c r="A9" s="65" t="s">
        <v>206</v>
      </c>
      <c r="B9" s="62" t="s">
        <v>255</v>
      </c>
      <c r="C9" s="67">
        <v>1000</v>
      </c>
      <c r="D9" s="68" t="s">
        <v>253</v>
      </c>
      <c r="E9" s="63"/>
    </row>
    <row r="10" spans="1:5" x14ac:dyDescent="0.2">
      <c r="A10" s="65" t="s">
        <v>209</v>
      </c>
      <c r="B10" s="62" t="s">
        <v>256</v>
      </c>
      <c r="C10" s="67">
        <v>12000</v>
      </c>
      <c r="D10" s="68" t="s">
        <v>253</v>
      </c>
      <c r="E10" s="63"/>
    </row>
    <row r="11" spans="1:5" x14ac:dyDescent="0.2">
      <c r="A11" s="65" t="s">
        <v>211</v>
      </c>
      <c r="B11" s="62" t="s">
        <v>257</v>
      </c>
      <c r="C11" s="67">
        <v>12000</v>
      </c>
      <c r="D11" s="68" t="s">
        <v>253</v>
      </c>
      <c r="E11" s="62"/>
    </row>
    <row r="12" spans="1:5" x14ac:dyDescent="0.2">
      <c r="A12" s="62">
        <v>2</v>
      </c>
      <c r="B12" s="62" t="s">
        <v>221</v>
      </c>
      <c r="C12" s="67">
        <f>SUM(C2:C11)</f>
        <v>227845.7</v>
      </c>
      <c r="D12" s="62" t="s">
        <v>258</v>
      </c>
      <c r="E12" s="62"/>
    </row>
    <row r="13" spans="1:5" ht="12" x14ac:dyDescent="0.25">
      <c r="A13" s="69" t="s">
        <v>259</v>
      </c>
    </row>
    <row r="14" spans="1:5" x14ac:dyDescent="0.2">
      <c r="A14" s="70" t="s">
        <v>260</v>
      </c>
      <c r="B14" s="62" t="s">
        <v>196</v>
      </c>
      <c r="C14" s="71">
        <v>9743.34</v>
      </c>
      <c r="D14" s="68" t="s">
        <v>261</v>
      </c>
      <c r="E14" s="63"/>
    </row>
    <row r="15" spans="1:5" x14ac:dyDescent="0.2">
      <c r="A15" s="70" t="s">
        <v>262</v>
      </c>
      <c r="B15" s="62" t="s">
        <v>196</v>
      </c>
      <c r="C15" s="71">
        <v>8918.7100000000009</v>
      </c>
      <c r="D15" s="68" t="s">
        <v>263</v>
      </c>
    </row>
    <row r="16" spans="1:5" x14ac:dyDescent="0.2">
      <c r="A16" s="70" t="s">
        <v>264</v>
      </c>
      <c r="B16" s="62" t="s">
        <v>197</v>
      </c>
      <c r="C16" s="71"/>
      <c r="D16" s="68"/>
    </row>
    <row r="17" spans="1:11" x14ac:dyDescent="0.2">
      <c r="A17" s="70" t="s">
        <v>265</v>
      </c>
      <c r="B17" s="62" t="s">
        <v>197</v>
      </c>
      <c r="C17" s="71"/>
      <c r="D17" s="68"/>
    </row>
    <row r="18" spans="1:11" x14ac:dyDescent="0.2">
      <c r="A18" s="70" t="s">
        <v>266</v>
      </c>
      <c r="B18" s="62" t="s">
        <v>196</v>
      </c>
      <c r="C18" s="71">
        <v>7288.7100000000009</v>
      </c>
      <c r="D18" s="68" t="s">
        <v>267</v>
      </c>
    </row>
    <row r="19" spans="1:11" x14ac:dyDescent="0.2">
      <c r="A19" s="70" t="s">
        <v>266</v>
      </c>
      <c r="B19" s="62" t="s">
        <v>202</v>
      </c>
      <c r="C19" s="71">
        <f>3200+3700</f>
        <v>6900</v>
      </c>
      <c r="D19" s="73" t="s">
        <v>268</v>
      </c>
      <c r="E19" s="73"/>
    </row>
    <row r="20" spans="1:11" x14ac:dyDescent="0.2">
      <c r="A20" s="70" t="s">
        <v>266</v>
      </c>
      <c r="B20" s="62" t="s">
        <v>204</v>
      </c>
      <c r="C20" s="71">
        <f>500+1000</f>
        <v>1500</v>
      </c>
      <c r="D20" s="73" t="s">
        <v>269</v>
      </c>
    </row>
    <row r="21" spans="1:11" x14ac:dyDescent="0.2">
      <c r="A21" s="70" t="s">
        <v>270</v>
      </c>
      <c r="B21" s="62" t="s">
        <v>199</v>
      </c>
      <c r="C21" s="71">
        <f>4669-320</f>
        <v>4349</v>
      </c>
      <c r="D21" s="73" t="s">
        <v>271</v>
      </c>
    </row>
    <row r="22" spans="1:11" x14ac:dyDescent="0.2">
      <c r="A22" s="70" t="s">
        <v>272</v>
      </c>
      <c r="B22" s="62" t="s">
        <v>207</v>
      </c>
      <c r="C22" s="71">
        <v>750</v>
      </c>
      <c r="D22" s="68" t="s">
        <v>273</v>
      </c>
    </row>
    <row r="23" spans="1:11" x14ac:dyDescent="0.2">
      <c r="A23" s="70" t="s">
        <v>272</v>
      </c>
      <c r="B23" s="62" t="s">
        <v>210</v>
      </c>
      <c r="C23" s="71">
        <v>62030.3</v>
      </c>
      <c r="D23" s="68" t="s">
        <v>274</v>
      </c>
    </row>
    <row r="24" spans="1:11" x14ac:dyDescent="0.2">
      <c r="A24" s="70" t="s">
        <v>275</v>
      </c>
      <c r="B24" s="62" t="s">
        <v>207</v>
      </c>
      <c r="C24" s="71">
        <f>450+50</f>
        <v>500</v>
      </c>
      <c r="D24" s="39" t="s">
        <v>276</v>
      </c>
    </row>
    <row r="25" spans="1:11" x14ac:dyDescent="0.2">
      <c r="A25" s="70" t="s">
        <v>277</v>
      </c>
      <c r="B25" s="62" t="s">
        <v>196</v>
      </c>
      <c r="C25" s="71">
        <f>10000-3040.84</f>
        <v>6959.16</v>
      </c>
      <c r="D25" s="39" t="s">
        <v>278</v>
      </c>
    </row>
    <row r="26" spans="1:11" x14ac:dyDescent="0.2">
      <c r="A26" s="70" t="s">
        <v>277</v>
      </c>
      <c r="B26" s="62" t="s">
        <v>199</v>
      </c>
      <c r="C26" s="71">
        <f>4669-1727.96</f>
        <v>2941.04</v>
      </c>
      <c r="D26" s="39" t="s">
        <v>279</v>
      </c>
    </row>
    <row r="27" spans="1:11" x14ac:dyDescent="0.2">
      <c r="A27" s="70" t="s">
        <v>277</v>
      </c>
      <c r="B27" s="62" t="s">
        <v>207</v>
      </c>
      <c r="C27" s="71">
        <f>450+50+100</f>
        <v>600</v>
      </c>
      <c r="D27" s="39" t="s">
        <v>280</v>
      </c>
    </row>
    <row r="28" spans="1:11" x14ac:dyDescent="0.2">
      <c r="A28" s="70" t="s">
        <v>277</v>
      </c>
      <c r="B28" s="62" t="s">
        <v>281</v>
      </c>
      <c r="C28" s="71"/>
      <c r="D28" s="68"/>
    </row>
    <row r="29" spans="1:11" x14ac:dyDescent="0.2">
      <c r="A29" s="70" t="s">
        <v>277</v>
      </c>
      <c r="B29" s="62" t="s">
        <v>189</v>
      </c>
      <c r="C29" s="71">
        <v>131945.51</v>
      </c>
      <c r="D29" s="39" t="s">
        <v>282</v>
      </c>
    </row>
    <row r="30" spans="1:11" ht="6.6" customHeight="1" x14ac:dyDescent="0.2">
      <c r="A30" s="70"/>
      <c r="B30" s="62"/>
      <c r="C30" s="71"/>
      <c r="D30" s="68"/>
    </row>
    <row r="31" spans="1:11" x14ac:dyDescent="0.2">
      <c r="A31" s="70"/>
      <c r="B31" s="62"/>
      <c r="C31" s="71"/>
      <c r="D31" s="68"/>
      <c r="J31" s="72" t="s">
        <v>251</v>
      </c>
      <c r="K31" s="64" t="s">
        <v>283</v>
      </c>
    </row>
    <row r="32" spans="1:11" x14ac:dyDescent="0.2">
      <c r="A32" s="70"/>
      <c r="B32" s="62"/>
      <c r="C32" s="71"/>
      <c r="D32" s="68"/>
      <c r="J32" s="74">
        <v>1088.27</v>
      </c>
      <c r="K32" s="64" t="s">
        <v>284</v>
      </c>
    </row>
    <row r="33" spans="1:13" x14ac:dyDescent="0.2">
      <c r="A33" s="70"/>
      <c r="B33" s="62"/>
      <c r="C33" s="71"/>
      <c r="D33" s="68"/>
    </row>
    <row r="34" spans="1:13" x14ac:dyDescent="0.2">
      <c r="A34" s="70"/>
      <c r="B34" s="62"/>
      <c r="C34" s="71"/>
      <c r="D34" s="68"/>
    </row>
    <row r="35" spans="1:13" x14ac:dyDescent="0.2">
      <c r="A35" s="70"/>
      <c r="B35" s="62"/>
      <c r="C35" s="71"/>
      <c r="D35" s="68"/>
      <c r="J35" s="74">
        <v>1000</v>
      </c>
      <c r="K35" s="64" t="s">
        <v>284</v>
      </c>
    </row>
    <row r="36" spans="1:13" x14ac:dyDescent="0.2">
      <c r="A36" s="70"/>
      <c r="B36" s="62"/>
      <c r="C36" s="71"/>
      <c r="D36" s="68"/>
      <c r="J36" s="74">
        <v>12000</v>
      </c>
      <c r="K36" s="64" t="s">
        <v>284</v>
      </c>
    </row>
    <row r="37" spans="1:13" x14ac:dyDescent="0.2">
      <c r="A37" s="70"/>
      <c r="B37" s="62"/>
      <c r="C37" s="71"/>
      <c r="D37" s="68"/>
      <c r="L37" s="73"/>
      <c r="M37" s="73"/>
    </row>
    <row r="38" spans="1:13" x14ac:dyDescent="0.2">
      <c r="A38" s="70"/>
      <c r="B38" s="62"/>
      <c r="C38" s="71"/>
      <c r="D38" s="68"/>
      <c r="J38" s="74">
        <v>10255</v>
      </c>
      <c r="K38" s="64" t="s">
        <v>285</v>
      </c>
      <c r="L38" s="73"/>
      <c r="M38" s="73"/>
    </row>
    <row r="39" spans="1:13" x14ac:dyDescent="0.2">
      <c r="A39" s="70"/>
      <c r="B39" s="62"/>
      <c r="C39" s="71"/>
      <c r="D39" s="68"/>
    </row>
    <row r="40" spans="1:13" x14ac:dyDescent="0.2">
      <c r="A40" s="70"/>
      <c r="B40" s="62"/>
      <c r="C40" s="71"/>
      <c r="D40" s="68"/>
      <c r="J40" s="74">
        <v>4673</v>
      </c>
      <c r="K40" s="64" t="s">
        <v>284</v>
      </c>
    </row>
    <row r="41" spans="1:13" x14ac:dyDescent="0.2">
      <c r="A41" s="70"/>
      <c r="B41" s="62"/>
      <c r="C41" s="71"/>
      <c r="D41" s="68"/>
      <c r="J41" s="74">
        <v>3555.91</v>
      </c>
      <c r="K41" s="64" t="s">
        <v>286</v>
      </c>
    </row>
    <row r="42" spans="1:13" x14ac:dyDescent="0.2">
      <c r="A42" s="70"/>
      <c r="B42" s="62"/>
      <c r="C42" s="71"/>
      <c r="D42" s="68"/>
    </row>
    <row r="43" spans="1:13" x14ac:dyDescent="0.2">
      <c r="A43" s="70"/>
      <c r="B43" s="62"/>
      <c r="C43" s="71"/>
      <c r="D43" s="68"/>
    </row>
    <row r="44" spans="1:13" x14ac:dyDescent="0.2">
      <c r="A44" s="70"/>
      <c r="B44" s="62"/>
      <c r="C44" s="71"/>
      <c r="D44" s="68"/>
      <c r="J44" s="74">
        <v>4211.54</v>
      </c>
      <c r="K44" s="64" t="s">
        <v>284</v>
      </c>
    </row>
    <row r="45" spans="1:13" ht="12" x14ac:dyDescent="0.25">
      <c r="A45" s="70"/>
      <c r="B45" s="62"/>
      <c r="C45" s="71"/>
      <c r="D45" s="68"/>
      <c r="J45" s="75">
        <f>SUM(J32:J44)</f>
        <v>36783.72</v>
      </c>
      <c r="K45" s="69" t="s">
        <v>287</v>
      </c>
    </row>
    <row r="46" spans="1:13" ht="12" x14ac:dyDescent="0.25">
      <c r="A46" s="70" t="s">
        <v>288</v>
      </c>
      <c r="B46" s="62" t="s">
        <v>189</v>
      </c>
      <c r="C46" s="71">
        <f>108972.7+4673+1000+12000+1088.27+4211.54-13</f>
        <v>131932.51</v>
      </c>
      <c r="D46" s="39" t="s">
        <v>289</v>
      </c>
      <c r="J46" s="64"/>
      <c r="L46" s="69"/>
      <c r="M46" s="69"/>
    </row>
    <row r="47" spans="1:13" x14ac:dyDescent="0.2">
      <c r="A47" s="70" t="s">
        <v>288</v>
      </c>
      <c r="B47" s="62" t="s">
        <v>196</v>
      </c>
      <c r="C47" s="71">
        <f>10000-3230.84</f>
        <v>6769.16</v>
      </c>
      <c r="D47" s="39" t="s">
        <v>290</v>
      </c>
    </row>
    <row r="48" spans="1:13" x14ac:dyDescent="0.2">
      <c r="A48" s="70" t="s">
        <v>288</v>
      </c>
      <c r="B48" s="62" t="s">
        <v>207</v>
      </c>
      <c r="C48" s="71">
        <f>450+50+100+50</f>
        <v>650</v>
      </c>
      <c r="D48" s="39" t="s">
        <v>291</v>
      </c>
    </row>
    <row r="49" spans="1:6" x14ac:dyDescent="0.2">
      <c r="A49" s="76" t="s">
        <v>292</v>
      </c>
      <c r="B49" s="64" t="s">
        <v>189</v>
      </c>
      <c r="C49" s="71">
        <f>108972.7+4673+1000+12000+1088.27+4211.54-13-3</f>
        <v>131929.51</v>
      </c>
      <c r="D49" s="39" t="s">
        <v>293</v>
      </c>
      <c r="F49" s="67"/>
    </row>
    <row r="50" spans="1:6" x14ac:dyDescent="0.2">
      <c r="A50" s="76" t="s">
        <v>292</v>
      </c>
      <c r="B50" s="64" t="s">
        <v>196</v>
      </c>
      <c r="C50" s="71">
        <f>10000-3230.84-100</f>
        <v>6669.16</v>
      </c>
      <c r="D50" s="39" t="s">
        <v>294</v>
      </c>
    </row>
    <row r="51" spans="1:6" x14ac:dyDescent="0.2">
      <c r="A51" s="76" t="s">
        <v>292</v>
      </c>
      <c r="B51" s="64" t="s">
        <v>199</v>
      </c>
      <c r="C51" s="71">
        <f>4669-1727.96-1926.5</f>
        <v>1014.54</v>
      </c>
      <c r="D51" s="39" t="s">
        <v>295</v>
      </c>
    </row>
    <row r="52" spans="1:6" x14ac:dyDescent="0.2">
      <c r="A52" s="76" t="s">
        <v>292</v>
      </c>
      <c r="B52" s="64" t="s">
        <v>207</v>
      </c>
      <c r="C52" s="71">
        <f>450+50+100+50-100</f>
        <v>550</v>
      </c>
      <c r="D52" s="39" t="s">
        <v>296</v>
      </c>
    </row>
    <row r="53" spans="1:6" ht="12" x14ac:dyDescent="0.25">
      <c r="A53" s="77" t="s">
        <v>297</v>
      </c>
      <c r="C53" s="71"/>
      <c r="D53" s="39"/>
    </row>
    <row r="54" spans="1:6" x14ac:dyDescent="0.2">
      <c r="A54" s="64" t="s">
        <v>298</v>
      </c>
      <c r="B54" s="64" t="s">
        <v>252</v>
      </c>
      <c r="C54" s="71">
        <f>5673-4673-350</f>
        <v>650</v>
      </c>
      <c r="D54" s="39" t="s">
        <v>299</v>
      </c>
      <c r="E54" s="72"/>
      <c r="F54" s="72"/>
    </row>
    <row r="55" spans="1:6" x14ac:dyDescent="0.2">
      <c r="A55" s="64" t="s">
        <v>298</v>
      </c>
      <c r="B55" s="64" t="s">
        <v>192</v>
      </c>
      <c r="C55" s="71">
        <f>37500-108</f>
        <v>37392</v>
      </c>
      <c r="D55" s="39" t="s">
        <v>300</v>
      </c>
    </row>
    <row r="56" spans="1:6" x14ac:dyDescent="0.2">
      <c r="A56" s="64" t="s">
        <v>298</v>
      </c>
      <c r="B56" s="62" t="s">
        <v>196</v>
      </c>
      <c r="C56" s="71">
        <f>10000-3230.84-100+156</f>
        <v>6825.16</v>
      </c>
      <c r="D56" s="39" t="s">
        <v>301</v>
      </c>
    </row>
    <row r="57" spans="1:6" x14ac:dyDescent="0.2">
      <c r="A57" s="64" t="s">
        <v>298</v>
      </c>
      <c r="B57" s="62" t="s">
        <v>199</v>
      </c>
      <c r="C57" s="71">
        <f>4669-1727.96-1926.5-156-858.54</f>
        <v>0</v>
      </c>
      <c r="D57" s="39" t="s">
        <v>302</v>
      </c>
    </row>
    <row r="58" spans="1:6" x14ac:dyDescent="0.2">
      <c r="A58" s="64" t="s">
        <v>298</v>
      </c>
      <c r="B58" s="62" t="s">
        <v>212</v>
      </c>
      <c r="C58" s="71">
        <v>3555.91</v>
      </c>
      <c r="D58" s="39" t="s">
        <v>303</v>
      </c>
    </row>
    <row r="59" spans="1:6" x14ac:dyDescent="0.2">
      <c r="A59" s="64" t="s">
        <v>260</v>
      </c>
      <c r="B59" s="64" t="s">
        <v>189</v>
      </c>
      <c r="C59" s="71">
        <f>108972.7+4673+1000+12000+1088.27+4211.54-13-3+10255</f>
        <v>142184.51</v>
      </c>
      <c r="D59" s="39" t="s">
        <v>304</v>
      </c>
    </row>
    <row r="60" spans="1:6" x14ac:dyDescent="0.2">
      <c r="A60" s="64" t="s">
        <v>260</v>
      </c>
      <c r="B60" s="64" t="s">
        <v>257</v>
      </c>
      <c r="C60" s="71">
        <f>12000-1745-10255</f>
        <v>0</v>
      </c>
      <c r="D60" s="39" t="s">
        <v>305</v>
      </c>
    </row>
    <row r="61" spans="1:6" x14ac:dyDescent="0.2">
      <c r="A61" s="64" t="s">
        <v>260</v>
      </c>
      <c r="B61" s="62" t="s">
        <v>207</v>
      </c>
      <c r="C61" s="71">
        <f>450+50+100+50-100+100</f>
        <v>650</v>
      </c>
      <c r="D61" s="39" t="s">
        <v>306</v>
      </c>
    </row>
    <row r="62" spans="1:6" x14ac:dyDescent="0.2">
      <c r="A62" s="64" t="s">
        <v>262</v>
      </c>
      <c r="B62" s="62" t="s">
        <v>189</v>
      </c>
      <c r="C62" s="71">
        <f>108972.7+4673+1000+12000+1088.27+4211.54-13-3+10255-300</f>
        <v>141884.51</v>
      </c>
      <c r="D62" s="39" t="s">
        <v>307</v>
      </c>
    </row>
    <row r="63" spans="1:6" x14ac:dyDescent="0.2">
      <c r="A63" s="64" t="s">
        <v>262</v>
      </c>
      <c r="B63" s="62" t="s">
        <v>202</v>
      </c>
      <c r="C63" s="71">
        <f>3200+3700-50</f>
        <v>6850</v>
      </c>
      <c r="D63" s="39" t="s">
        <v>308</v>
      </c>
    </row>
    <row r="64" spans="1:6" x14ac:dyDescent="0.2">
      <c r="A64" s="64" t="s">
        <v>262</v>
      </c>
      <c r="B64" s="64" t="s">
        <v>189</v>
      </c>
      <c r="C64" s="71">
        <f>108972.7+4673+1000+12000+1088.27+4211.54-13-3+10255-300+12000</f>
        <v>153884.51</v>
      </c>
      <c r="D64" s="39" t="s">
        <v>309</v>
      </c>
    </row>
    <row r="65" spans="1:15" x14ac:dyDescent="0.2">
      <c r="A65" s="64" t="s">
        <v>262</v>
      </c>
      <c r="B65" s="64" t="s">
        <v>310</v>
      </c>
      <c r="C65" s="71">
        <f>500+1000+1000</f>
        <v>2500</v>
      </c>
      <c r="D65" s="39" t="s">
        <v>311</v>
      </c>
    </row>
    <row r="66" spans="1:15" x14ac:dyDescent="0.2">
      <c r="A66" s="64" t="s">
        <v>262</v>
      </c>
      <c r="B66" s="64" t="s">
        <v>312</v>
      </c>
      <c r="C66" s="71">
        <v>3500</v>
      </c>
      <c r="D66" s="39" t="s">
        <v>313</v>
      </c>
    </row>
    <row r="67" spans="1:15" x14ac:dyDescent="0.2">
      <c r="A67" s="64" t="s">
        <v>264</v>
      </c>
      <c r="B67" s="62" t="s">
        <v>194</v>
      </c>
      <c r="C67" s="71">
        <f>37500-966</f>
        <v>36534</v>
      </c>
      <c r="D67" s="39" t="s">
        <v>314</v>
      </c>
    </row>
    <row r="68" spans="1:15" x14ac:dyDescent="0.2">
      <c r="A68" s="64" t="s">
        <v>264</v>
      </c>
      <c r="B68" s="62" t="s">
        <v>199</v>
      </c>
      <c r="C68" s="71">
        <f>3090-1422.9</f>
        <v>1667.1</v>
      </c>
      <c r="D68" s="39" t="s">
        <v>315</v>
      </c>
    </row>
    <row r="69" spans="1:15" x14ac:dyDescent="0.2">
      <c r="A69" s="64" t="s">
        <v>266</v>
      </c>
      <c r="B69" s="64" t="s">
        <v>199</v>
      </c>
      <c r="C69" s="71">
        <f>3090-1422.9-320</f>
        <v>1347.1</v>
      </c>
      <c r="D69" s="39" t="s">
        <v>316</v>
      </c>
    </row>
    <row r="70" spans="1:15" x14ac:dyDescent="0.2">
      <c r="A70" s="64" t="s">
        <v>266</v>
      </c>
      <c r="B70" s="64" t="s">
        <v>202</v>
      </c>
      <c r="C70" s="71">
        <f>3200+3700-50-4035</f>
        <v>2815</v>
      </c>
      <c r="D70" s="39" t="s">
        <v>317</v>
      </c>
    </row>
    <row r="71" spans="1:15" x14ac:dyDescent="0.2">
      <c r="A71" s="64" t="s">
        <v>266</v>
      </c>
      <c r="B71" s="62" t="s">
        <v>210</v>
      </c>
      <c r="C71" s="71">
        <f>62030.3+0.7-1216.74</f>
        <v>60814.26</v>
      </c>
      <c r="D71" s="39" t="s">
        <v>318</v>
      </c>
    </row>
    <row r="72" spans="1:15" x14ac:dyDescent="0.2">
      <c r="A72" s="64" t="s">
        <v>270</v>
      </c>
      <c r="B72" s="62" t="s">
        <v>312</v>
      </c>
      <c r="C72" s="71">
        <f>3500-1800</f>
        <v>1700</v>
      </c>
      <c r="D72" s="39" t="s">
        <v>319</v>
      </c>
      <c r="E72" s="73"/>
    </row>
    <row r="73" spans="1:15" x14ac:dyDescent="0.2">
      <c r="A73" s="64" t="s">
        <v>270</v>
      </c>
      <c r="B73" s="62" t="s">
        <v>192</v>
      </c>
      <c r="C73" s="71">
        <f>37500-108-1095</f>
        <v>36297</v>
      </c>
      <c r="D73" s="39" t="s">
        <v>320</v>
      </c>
      <c r="E73" s="73"/>
    </row>
    <row r="74" spans="1:15" ht="13.2" x14ac:dyDescent="0.2">
      <c r="A74" s="64" t="s">
        <v>270</v>
      </c>
      <c r="B74" s="62" t="s">
        <v>189</v>
      </c>
      <c r="C74" s="71">
        <f>108972.7+4673+1000+12000+1088.27+4211.54-13-3+10255-300+12000+8387.78</f>
        <v>162272.29</v>
      </c>
      <c r="D74" s="39" t="s">
        <v>321</v>
      </c>
      <c r="I74" s="78" t="s">
        <v>3</v>
      </c>
      <c r="J74" s="78" t="s">
        <v>4</v>
      </c>
      <c r="K74" s="78" t="s">
        <v>5</v>
      </c>
      <c r="L74" s="78" t="s">
        <v>6</v>
      </c>
      <c r="M74" s="79" t="s">
        <v>8</v>
      </c>
      <c r="N74" s="79" t="s">
        <v>9</v>
      </c>
      <c r="O74" s="79" t="s">
        <v>10</v>
      </c>
    </row>
    <row r="75" spans="1:15" x14ac:dyDescent="0.2">
      <c r="A75" s="64" t="s">
        <v>272</v>
      </c>
      <c r="B75" s="64" t="s">
        <v>252</v>
      </c>
      <c r="C75" s="71">
        <f>5673-4673-350-650</f>
        <v>0</v>
      </c>
      <c r="D75" s="39" t="s">
        <v>322</v>
      </c>
      <c r="I75" s="80" t="s">
        <v>19</v>
      </c>
      <c r="J75" s="80" t="s">
        <v>20</v>
      </c>
      <c r="K75" s="81">
        <v>45037</v>
      </c>
      <c r="L75" s="80" t="s">
        <v>323</v>
      </c>
      <c r="M75" s="82">
        <v>-6.63</v>
      </c>
      <c r="N75" s="83">
        <v>0</v>
      </c>
      <c r="O75" s="83">
        <v>-6.63</v>
      </c>
    </row>
    <row r="76" spans="1:15" x14ac:dyDescent="0.2">
      <c r="A76" s="64" t="s">
        <v>272</v>
      </c>
      <c r="B76" s="62" t="s">
        <v>199</v>
      </c>
      <c r="C76" s="71">
        <f>3090-1422.9-320+320</f>
        <v>1667.1</v>
      </c>
      <c r="D76" s="39" t="s">
        <v>324</v>
      </c>
      <c r="I76" s="80" t="s">
        <v>19</v>
      </c>
      <c r="J76" s="80" t="s">
        <v>20</v>
      </c>
      <c r="K76" s="81">
        <v>45067</v>
      </c>
      <c r="L76" s="80" t="s">
        <v>325</v>
      </c>
      <c r="M76" s="82">
        <v>-6.67</v>
      </c>
      <c r="N76" s="83">
        <v>0</v>
      </c>
      <c r="O76" s="83">
        <v>-6.67</v>
      </c>
    </row>
    <row r="77" spans="1:15" x14ac:dyDescent="0.2">
      <c r="A77" s="64" t="s">
        <v>272</v>
      </c>
      <c r="B77" s="62" t="s">
        <v>202</v>
      </c>
      <c r="C77" s="71">
        <f>3200+3700-50-4035-50</f>
        <v>2765</v>
      </c>
      <c r="D77" s="39" t="s">
        <v>326</v>
      </c>
      <c r="I77" s="80" t="s">
        <v>19</v>
      </c>
      <c r="J77" s="80" t="s">
        <v>20</v>
      </c>
      <c r="K77" s="81">
        <v>45098</v>
      </c>
      <c r="L77" s="80" t="s">
        <v>327</v>
      </c>
      <c r="M77" s="82">
        <v>-7.75</v>
      </c>
      <c r="N77" s="83">
        <v>0</v>
      </c>
      <c r="O77" s="83">
        <v>-7.75</v>
      </c>
    </row>
    <row r="78" spans="1:15" x14ac:dyDescent="0.2">
      <c r="A78" s="64" t="s">
        <v>272</v>
      </c>
      <c r="B78" s="62" t="s">
        <v>312</v>
      </c>
      <c r="C78" s="71">
        <f>3500-1800-1700</f>
        <v>0</v>
      </c>
      <c r="D78" s="39" t="s">
        <v>328</v>
      </c>
      <c r="I78" s="80" t="s">
        <v>19</v>
      </c>
      <c r="J78" s="80" t="s">
        <v>20</v>
      </c>
      <c r="K78" s="81">
        <v>45128</v>
      </c>
      <c r="L78" s="80" t="s">
        <v>329</v>
      </c>
      <c r="M78" s="82">
        <v>-8.25</v>
      </c>
      <c r="N78" s="83">
        <v>0</v>
      </c>
      <c r="O78" s="83">
        <v>-8.25</v>
      </c>
    </row>
    <row r="79" spans="1:15" x14ac:dyDescent="0.2">
      <c r="A79" s="64" t="s">
        <v>275</v>
      </c>
      <c r="B79" s="62" t="s">
        <v>202</v>
      </c>
      <c r="C79" s="71">
        <f>3200+3700-50-4035-50-62.5</f>
        <v>2702.5</v>
      </c>
      <c r="D79" s="39" t="s">
        <v>330</v>
      </c>
      <c r="I79" s="80" t="s">
        <v>19</v>
      </c>
      <c r="J79" s="80" t="s">
        <v>20</v>
      </c>
      <c r="K79" s="81">
        <v>45132</v>
      </c>
      <c r="L79" s="80" t="s">
        <v>331</v>
      </c>
      <c r="M79" s="82">
        <v>-1.59</v>
      </c>
      <c r="N79" s="83">
        <v>0</v>
      </c>
      <c r="O79" s="83">
        <v>-1.59</v>
      </c>
    </row>
    <row r="80" spans="1:15" x14ac:dyDescent="0.2">
      <c r="A80" s="64" t="s">
        <v>275</v>
      </c>
      <c r="B80" s="62" t="s">
        <v>210</v>
      </c>
      <c r="C80" s="71">
        <f>62030.3+0.2-763.95</f>
        <v>61266.55</v>
      </c>
      <c r="D80" s="39" t="s">
        <v>332</v>
      </c>
      <c r="I80" s="80" t="s">
        <v>19</v>
      </c>
      <c r="J80" s="80" t="s">
        <v>20</v>
      </c>
      <c r="K80" s="81">
        <v>45199</v>
      </c>
      <c r="L80" s="80" t="s">
        <v>333</v>
      </c>
      <c r="M80" s="82">
        <v>-1604.87</v>
      </c>
      <c r="N80" s="83">
        <v>0</v>
      </c>
      <c r="O80" s="83">
        <v>-1604.87</v>
      </c>
    </row>
    <row r="81" spans="1:15" x14ac:dyDescent="0.2">
      <c r="A81" s="84">
        <v>45658</v>
      </c>
      <c r="B81" s="62" t="s">
        <v>189</v>
      </c>
      <c r="C81" s="71">
        <f>108972.7+4673+1000+12000+1088.27+4211.54-13-3+10255-300+12000+8387.78+3064.31</f>
        <v>165336.6</v>
      </c>
      <c r="D81" s="39" t="s">
        <v>334</v>
      </c>
      <c r="E81" s="73"/>
      <c r="F81" s="73"/>
      <c r="G81" s="73"/>
      <c r="H81" s="73"/>
      <c r="I81" s="80" t="s">
        <v>19</v>
      </c>
      <c r="J81" s="80" t="s">
        <v>20</v>
      </c>
      <c r="K81" s="81">
        <v>45291</v>
      </c>
      <c r="L81" s="80" t="s">
        <v>333</v>
      </c>
      <c r="M81" s="82">
        <v>-2575.7800000000002</v>
      </c>
      <c r="N81" s="83">
        <v>0</v>
      </c>
      <c r="O81" s="83">
        <v>-2575.7800000000002</v>
      </c>
    </row>
    <row r="82" spans="1:15" x14ac:dyDescent="0.2">
      <c r="A82" s="84">
        <v>45689</v>
      </c>
      <c r="B82" s="62" t="s">
        <v>189</v>
      </c>
      <c r="C82" s="71">
        <f>108972.7+4673+1000+12000+1088.27+4211.54-13-3+10255-300+12000+8387.78+3064.31+1172.24</f>
        <v>166508.84</v>
      </c>
      <c r="D82" s="39" t="s">
        <v>335</v>
      </c>
      <c r="E82" s="73"/>
      <c r="F82" s="73"/>
      <c r="G82" s="73"/>
      <c r="H82" s="73"/>
      <c r="I82" s="80" t="s">
        <v>19</v>
      </c>
      <c r="J82" s="80" t="s">
        <v>20</v>
      </c>
      <c r="K82" s="81">
        <v>45382</v>
      </c>
      <c r="L82" s="80" t="s">
        <v>333</v>
      </c>
      <c r="M82" s="85">
        <v>-2661.96</v>
      </c>
      <c r="N82" s="83">
        <v>0</v>
      </c>
      <c r="O82" s="83">
        <v>-2661.96</v>
      </c>
    </row>
    <row r="83" spans="1:15" x14ac:dyDescent="0.2">
      <c r="A83" s="84">
        <v>45689</v>
      </c>
      <c r="B83" s="62" t="s">
        <v>207</v>
      </c>
      <c r="C83" s="71">
        <f>450+50+100+50-100+100+50</f>
        <v>700</v>
      </c>
      <c r="D83" s="39" t="s">
        <v>336</v>
      </c>
      <c r="E83" s="73"/>
      <c r="I83" s="80" t="s">
        <v>19</v>
      </c>
      <c r="J83" s="80" t="s">
        <v>20</v>
      </c>
      <c r="K83" s="81">
        <v>45473</v>
      </c>
      <c r="L83" s="80" t="s">
        <v>333</v>
      </c>
      <c r="M83" s="85">
        <v>-2876.54</v>
      </c>
      <c r="N83" s="83">
        <v>0</v>
      </c>
      <c r="O83" s="83">
        <v>-2876.54</v>
      </c>
    </row>
    <row r="84" spans="1:15" x14ac:dyDescent="0.2">
      <c r="A84" s="84">
        <v>45717</v>
      </c>
      <c r="B84" s="62" t="s">
        <v>189</v>
      </c>
      <c r="C84" s="71">
        <f>108972.7+4673+1000+12000+1088.27+4211.54-13-3+10255-300+12000+8387.78+3064.31+1172.24+1407.54+229.72</f>
        <v>168146.1</v>
      </c>
      <c r="D84" s="39" t="s">
        <v>480</v>
      </c>
      <c r="I84" s="80" t="s">
        <v>19</v>
      </c>
      <c r="J84" s="80" t="s">
        <v>20</v>
      </c>
      <c r="K84" s="81">
        <v>45565</v>
      </c>
      <c r="L84" s="80" t="s">
        <v>333</v>
      </c>
      <c r="M84" s="85">
        <v>-2849.28</v>
      </c>
      <c r="N84" s="83">
        <v>0</v>
      </c>
      <c r="O84" s="83">
        <v>-2849.28</v>
      </c>
    </row>
    <row r="85" spans="1:15" ht="12" x14ac:dyDescent="0.25">
      <c r="A85" s="77" t="s">
        <v>337</v>
      </c>
      <c r="C85" s="71"/>
      <c r="D85" s="39"/>
      <c r="M85" s="86">
        <f>SUM(M82:M84)</f>
        <v>-8387.7800000000007</v>
      </c>
      <c r="N85" s="64" t="s">
        <v>338</v>
      </c>
    </row>
    <row r="86" spans="1:15" ht="13.2" x14ac:dyDescent="0.2">
      <c r="A86" s="84">
        <v>45748</v>
      </c>
      <c r="C86" s="71"/>
      <c r="D86" s="39"/>
      <c r="K86" s="78" t="s">
        <v>5</v>
      </c>
      <c r="L86" s="78" t="s">
        <v>6</v>
      </c>
      <c r="M86" s="79" t="s">
        <v>8</v>
      </c>
      <c r="N86" s="79" t="s">
        <v>9</v>
      </c>
    </row>
    <row r="87" spans="1:15" x14ac:dyDescent="0.2">
      <c r="A87" s="64" t="s">
        <v>339</v>
      </c>
      <c r="C87" s="71"/>
      <c r="D87" s="39"/>
    </row>
    <row r="88" spans="1:15" ht="13.2" x14ac:dyDescent="0.2">
      <c r="A88" s="64" t="s">
        <v>340</v>
      </c>
      <c r="C88" s="87">
        <v>11325.82</v>
      </c>
      <c r="D88" s="73" t="s">
        <v>482</v>
      </c>
      <c r="K88" s="88" t="s">
        <v>20</v>
      </c>
      <c r="L88" s="88"/>
      <c r="M88" s="88"/>
      <c r="N88" s="88"/>
    </row>
    <row r="89" spans="1:15" x14ac:dyDescent="0.2">
      <c r="A89" s="64" t="s">
        <v>341</v>
      </c>
      <c r="C89" s="89">
        <v>10000</v>
      </c>
      <c r="D89" s="39" t="s">
        <v>190</v>
      </c>
      <c r="K89" s="81">
        <v>45629</v>
      </c>
      <c r="L89" s="80" t="s">
        <v>21</v>
      </c>
      <c r="M89" s="83">
        <v>0.01</v>
      </c>
      <c r="N89" s="83">
        <v>0</v>
      </c>
    </row>
    <row r="90" spans="1:15" x14ac:dyDescent="0.2">
      <c r="A90" s="64" t="s">
        <v>342</v>
      </c>
      <c r="C90" s="89">
        <v>3000</v>
      </c>
      <c r="D90" s="39" t="s">
        <v>215</v>
      </c>
      <c r="K90" s="81">
        <v>45657</v>
      </c>
      <c r="L90" s="80" t="s">
        <v>333</v>
      </c>
      <c r="M90" s="83">
        <v>2296.4499999999998</v>
      </c>
      <c r="N90" s="83">
        <v>0</v>
      </c>
    </row>
    <row r="91" spans="1:15" x14ac:dyDescent="0.2">
      <c r="A91" s="64" t="s">
        <v>343</v>
      </c>
      <c r="C91" s="90">
        <v>3000</v>
      </c>
      <c r="D91" s="39" t="s">
        <v>215</v>
      </c>
      <c r="K91" s="81">
        <v>45660</v>
      </c>
      <c r="L91" s="80" t="s">
        <v>21</v>
      </c>
      <c r="M91" s="83">
        <v>767.85</v>
      </c>
      <c r="N91" s="83">
        <v>0</v>
      </c>
    </row>
    <row r="92" spans="1:15" ht="12" x14ac:dyDescent="0.2">
      <c r="A92" s="64" t="s">
        <v>344</v>
      </c>
      <c r="C92" s="90">
        <v>10000</v>
      </c>
      <c r="D92" s="39" t="s">
        <v>345</v>
      </c>
      <c r="K92" s="91" t="s">
        <v>346</v>
      </c>
      <c r="L92" s="91"/>
      <c r="M92" s="92">
        <f>SUM(M89:M91)</f>
        <v>3064.31</v>
      </c>
      <c r="N92" s="93" t="s">
        <v>347</v>
      </c>
    </row>
    <row r="93" spans="1:15" x14ac:dyDescent="0.2">
      <c r="A93" s="64" t="s">
        <v>348</v>
      </c>
      <c r="C93" s="90">
        <v>2000</v>
      </c>
      <c r="D93" s="39" t="s">
        <v>220</v>
      </c>
    </row>
    <row r="94" spans="1:15" x14ac:dyDescent="0.2">
      <c r="A94" s="64" t="s">
        <v>349</v>
      </c>
      <c r="C94" s="90">
        <v>1000</v>
      </c>
      <c r="D94" s="39" t="s">
        <v>205</v>
      </c>
    </row>
    <row r="95" spans="1:15" x14ac:dyDescent="0.2">
      <c r="C95" s="89">
        <f>SUM(C89:C94)</f>
        <v>29000</v>
      </c>
      <c r="D95" s="39" t="s">
        <v>350</v>
      </c>
    </row>
    <row r="96" spans="1:15" x14ac:dyDescent="0.2">
      <c r="A96" s="84">
        <v>45748</v>
      </c>
      <c r="B96" s="62" t="s">
        <v>199</v>
      </c>
      <c r="C96" s="71">
        <f>3090-1422.9-320+320-1464.14</f>
        <v>202.95999999999981</v>
      </c>
      <c r="D96" s="39" t="s">
        <v>200</v>
      </c>
    </row>
    <row r="97" spans="1:4" x14ac:dyDescent="0.2">
      <c r="A97" s="84">
        <v>45748</v>
      </c>
      <c r="B97" s="62" t="s">
        <v>207</v>
      </c>
      <c r="C97" s="71">
        <f>450+50+100+50-100+100+50+50</f>
        <v>750</v>
      </c>
      <c r="D97" s="39" t="s">
        <v>208</v>
      </c>
    </row>
    <row r="98" spans="1:4" x14ac:dyDescent="0.2">
      <c r="A98" s="84">
        <v>45778</v>
      </c>
      <c r="B98" s="64" t="s">
        <v>199</v>
      </c>
      <c r="C98" s="38">
        <f>3090-1422.9-320+320-1464.14-202.96</f>
        <v>0</v>
      </c>
      <c r="D98" s="44" t="s">
        <v>249</v>
      </c>
    </row>
    <row r="99" spans="1:4" x14ac:dyDescent="0.2">
      <c r="A99" s="84">
        <v>45809</v>
      </c>
      <c r="B99" s="22" t="s">
        <v>189</v>
      </c>
      <c r="C99" s="38">
        <f>168146.1+10000+1534.82+1503.16</f>
        <v>181184.08000000002</v>
      </c>
      <c r="D99" s="44" t="s">
        <v>481</v>
      </c>
    </row>
    <row r="100" spans="1:4" x14ac:dyDescent="0.2">
      <c r="C100" s="71"/>
      <c r="D100" s="39"/>
    </row>
    <row r="101" spans="1:4" x14ac:dyDescent="0.2">
      <c r="C101" s="71"/>
      <c r="D101" s="39"/>
    </row>
    <row r="102" spans="1:4" x14ac:dyDescent="0.2">
      <c r="C102" s="71"/>
      <c r="D102" s="39"/>
    </row>
    <row r="103" spans="1:4" x14ac:dyDescent="0.2">
      <c r="B103" s="95" t="s">
        <v>484</v>
      </c>
      <c r="C103" s="71"/>
      <c r="D103" s="39"/>
    </row>
    <row r="104" spans="1:4" x14ac:dyDescent="0.2">
      <c r="A104" s="94" t="s">
        <v>351</v>
      </c>
      <c r="B104" s="95"/>
      <c r="C104" s="71"/>
      <c r="D104" s="39"/>
    </row>
    <row r="105" spans="1:4" x14ac:dyDescent="0.2">
      <c r="A105" s="71"/>
      <c r="B105" s="71"/>
      <c r="C105" s="71"/>
      <c r="D105" s="39"/>
    </row>
    <row r="106" spans="1:4" x14ac:dyDescent="0.2">
      <c r="C106" s="71"/>
      <c r="D106" s="39"/>
    </row>
    <row r="107" spans="1:4" x14ac:dyDescent="0.2">
      <c r="C107" s="71"/>
      <c r="D107" s="39"/>
    </row>
    <row r="108" spans="1:4" x14ac:dyDescent="0.2">
      <c r="C108" s="71"/>
      <c r="D108" s="39"/>
    </row>
    <row r="109" spans="1:4" x14ac:dyDescent="0.2">
      <c r="C109" s="71"/>
      <c r="D109" s="39"/>
    </row>
    <row r="110" spans="1:4" x14ac:dyDescent="0.2">
      <c r="C110" s="71"/>
      <c r="D110" s="39"/>
    </row>
  </sheetData>
  <autoFilter ref="A46:O84" xr:uid="{67975FF6-26F9-4DBD-9D7F-6A3B14838A37}"/>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B70C-9253-4B0A-92B4-DD9F30DCAF99}">
  <dimension ref="A1:O134"/>
  <sheetViews>
    <sheetView workbookViewId="0">
      <pane xSplit="1" ySplit="7" topLeftCell="B120" activePane="bottomRight" state="frozen"/>
      <selection activeCell="J98" sqref="J98"/>
      <selection pane="topRight" activeCell="J98" sqref="J98"/>
      <selection pane="bottomLeft" activeCell="J98" sqref="J98"/>
      <selection pane="bottomRight" activeCell="J98" sqref="J98"/>
    </sheetView>
  </sheetViews>
  <sheetFormatPr defaultRowHeight="11.4" x14ac:dyDescent="0.2"/>
  <cols>
    <col min="1" max="1" width="26.875" style="62" customWidth="1"/>
    <col min="2" max="14" width="16.125" style="62" customWidth="1"/>
    <col min="15" max="256" width="9" style="62"/>
    <col min="257" max="257" width="26.875" style="62" customWidth="1"/>
    <col min="258" max="270" width="16.125" style="62" customWidth="1"/>
    <col min="271" max="512" width="9" style="62"/>
    <col min="513" max="513" width="26.875" style="62" customWidth="1"/>
    <col min="514" max="526" width="16.125" style="62" customWidth="1"/>
    <col min="527" max="768" width="9" style="62"/>
    <col min="769" max="769" width="26.875" style="62" customWidth="1"/>
    <col min="770" max="782" width="16.125" style="62" customWidth="1"/>
    <col min="783" max="1024" width="9" style="62"/>
    <col min="1025" max="1025" width="26.875" style="62" customWidth="1"/>
    <col min="1026" max="1038" width="16.125" style="62" customWidth="1"/>
    <col min="1039" max="1280" width="9" style="62"/>
    <col min="1281" max="1281" width="26.875" style="62" customWidth="1"/>
    <col min="1282" max="1294" width="16.125" style="62" customWidth="1"/>
    <col min="1295" max="1536" width="9" style="62"/>
    <col min="1537" max="1537" width="26.875" style="62" customWidth="1"/>
    <col min="1538" max="1550" width="16.125" style="62" customWidth="1"/>
    <col min="1551" max="1792" width="9" style="62"/>
    <col min="1793" max="1793" width="26.875" style="62" customWidth="1"/>
    <col min="1794" max="1806" width="16.125" style="62" customWidth="1"/>
    <col min="1807" max="2048" width="9" style="62"/>
    <col min="2049" max="2049" width="26.875" style="62" customWidth="1"/>
    <col min="2050" max="2062" width="16.125" style="62" customWidth="1"/>
    <col min="2063" max="2304" width="9" style="62"/>
    <col min="2305" max="2305" width="26.875" style="62" customWidth="1"/>
    <col min="2306" max="2318" width="16.125" style="62" customWidth="1"/>
    <col min="2319" max="2560" width="9" style="62"/>
    <col min="2561" max="2561" width="26.875" style="62" customWidth="1"/>
    <col min="2562" max="2574" width="16.125" style="62" customWidth="1"/>
    <col min="2575" max="2816" width="9" style="62"/>
    <col min="2817" max="2817" width="26.875" style="62" customWidth="1"/>
    <col min="2818" max="2830" width="16.125" style="62" customWidth="1"/>
    <col min="2831" max="3072" width="9" style="62"/>
    <col min="3073" max="3073" width="26.875" style="62" customWidth="1"/>
    <col min="3074" max="3086" width="16.125" style="62" customWidth="1"/>
    <col min="3087" max="3328" width="9" style="62"/>
    <col min="3329" max="3329" width="26.875" style="62" customWidth="1"/>
    <col min="3330" max="3342" width="16.125" style="62" customWidth="1"/>
    <col min="3343" max="3584" width="9" style="62"/>
    <col min="3585" max="3585" width="26.875" style="62" customWidth="1"/>
    <col min="3586" max="3598" width="16.125" style="62" customWidth="1"/>
    <col min="3599" max="3840" width="9" style="62"/>
    <col min="3841" max="3841" width="26.875" style="62" customWidth="1"/>
    <col min="3842" max="3854" width="16.125" style="62" customWidth="1"/>
    <col min="3855" max="4096" width="9" style="62"/>
    <col min="4097" max="4097" width="26.875" style="62" customWidth="1"/>
    <col min="4098" max="4110" width="16.125" style="62" customWidth="1"/>
    <col min="4111" max="4352" width="9" style="62"/>
    <col min="4353" max="4353" width="26.875" style="62" customWidth="1"/>
    <col min="4354" max="4366" width="16.125" style="62" customWidth="1"/>
    <col min="4367" max="4608" width="9" style="62"/>
    <col min="4609" max="4609" width="26.875" style="62" customWidth="1"/>
    <col min="4610" max="4622" width="16.125" style="62" customWidth="1"/>
    <col min="4623" max="4864" width="9" style="62"/>
    <col min="4865" max="4865" width="26.875" style="62" customWidth="1"/>
    <col min="4866" max="4878" width="16.125" style="62" customWidth="1"/>
    <col min="4879" max="5120" width="9" style="62"/>
    <col min="5121" max="5121" width="26.875" style="62" customWidth="1"/>
    <col min="5122" max="5134" width="16.125" style="62" customWidth="1"/>
    <col min="5135" max="5376" width="9" style="62"/>
    <col min="5377" max="5377" width="26.875" style="62" customWidth="1"/>
    <col min="5378" max="5390" width="16.125" style="62" customWidth="1"/>
    <col min="5391" max="5632" width="9" style="62"/>
    <col min="5633" max="5633" width="26.875" style="62" customWidth="1"/>
    <col min="5634" max="5646" width="16.125" style="62" customWidth="1"/>
    <col min="5647" max="5888" width="9" style="62"/>
    <col min="5889" max="5889" width="26.875" style="62" customWidth="1"/>
    <col min="5890" max="5902" width="16.125" style="62" customWidth="1"/>
    <col min="5903" max="6144" width="9" style="62"/>
    <col min="6145" max="6145" width="26.875" style="62" customWidth="1"/>
    <col min="6146" max="6158" width="16.125" style="62" customWidth="1"/>
    <col min="6159" max="6400" width="9" style="62"/>
    <col min="6401" max="6401" width="26.875" style="62" customWidth="1"/>
    <col min="6402" max="6414" width="16.125" style="62" customWidth="1"/>
    <col min="6415" max="6656" width="9" style="62"/>
    <col min="6657" max="6657" width="26.875" style="62" customWidth="1"/>
    <col min="6658" max="6670" width="16.125" style="62" customWidth="1"/>
    <col min="6671" max="6912" width="9" style="62"/>
    <col min="6913" max="6913" width="26.875" style="62" customWidth="1"/>
    <col min="6914" max="6926" width="16.125" style="62" customWidth="1"/>
    <col min="6927" max="7168" width="9" style="62"/>
    <col min="7169" max="7169" width="26.875" style="62" customWidth="1"/>
    <col min="7170" max="7182" width="16.125" style="62" customWidth="1"/>
    <col min="7183" max="7424" width="9" style="62"/>
    <col min="7425" max="7425" width="26.875" style="62" customWidth="1"/>
    <col min="7426" max="7438" width="16.125" style="62" customWidth="1"/>
    <col min="7439" max="7680" width="9" style="62"/>
    <col min="7681" max="7681" width="26.875" style="62" customWidth="1"/>
    <col min="7682" max="7694" width="16.125" style="62" customWidth="1"/>
    <col min="7695" max="7936" width="9" style="62"/>
    <col min="7937" max="7937" width="26.875" style="62" customWidth="1"/>
    <col min="7938" max="7950" width="16.125" style="62" customWidth="1"/>
    <col min="7951" max="8192" width="9" style="62"/>
    <col min="8193" max="8193" width="26.875" style="62" customWidth="1"/>
    <col min="8194" max="8206" width="16.125" style="62" customWidth="1"/>
    <col min="8207" max="8448" width="9" style="62"/>
    <col min="8449" max="8449" width="26.875" style="62" customWidth="1"/>
    <col min="8450" max="8462" width="16.125" style="62" customWidth="1"/>
    <col min="8463" max="8704" width="9" style="62"/>
    <col min="8705" max="8705" width="26.875" style="62" customWidth="1"/>
    <col min="8706" max="8718" width="16.125" style="62" customWidth="1"/>
    <col min="8719" max="8960" width="9" style="62"/>
    <col min="8961" max="8961" width="26.875" style="62" customWidth="1"/>
    <col min="8962" max="8974" width="16.125" style="62" customWidth="1"/>
    <col min="8975" max="9216" width="9" style="62"/>
    <col min="9217" max="9217" width="26.875" style="62" customWidth="1"/>
    <col min="9218" max="9230" width="16.125" style="62" customWidth="1"/>
    <col min="9231" max="9472" width="9" style="62"/>
    <col min="9473" max="9473" width="26.875" style="62" customWidth="1"/>
    <col min="9474" max="9486" width="16.125" style="62" customWidth="1"/>
    <col min="9487" max="9728" width="9" style="62"/>
    <col min="9729" max="9729" width="26.875" style="62" customWidth="1"/>
    <col min="9730" max="9742" width="16.125" style="62" customWidth="1"/>
    <col min="9743" max="9984" width="9" style="62"/>
    <col min="9985" max="9985" width="26.875" style="62" customWidth="1"/>
    <col min="9986" max="9998" width="16.125" style="62" customWidth="1"/>
    <col min="9999" max="10240" width="9" style="62"/>
    <col min="10241" max="10241" width="26.875" style="62" customWidth="1"/>
    <col min="10242" max="10254" width="16.125" style="62" customWidth="1"/>
    <col min="10255" max="10496" width="9" style="62"/>
    <col min="10497" max="10497" width="26.875" style="62" customWidth="1"/>
    <col min="10498" max="10510" width="16.125" style="62" customWidth="1"/>
    <col min="10511" max="10752" width="9" style="62"/>
    <col min="10753" max="10753" width="26.875" style="62" customWidth="1"/>
    <col min="10754" max="10766" width="16.125" style="62" customWidth="1"/>
    <col min="10767" max="11008" width="9" style="62"/>
    <col min="11009" max="11009" width="26.875" style="62" customWidth="1"/>
    <col min="11010" max="11022" width="16.125" style="62" customWidth="1"/>
    <col min="11023" max="11264" width="9" style="62"/>
    <col min="11265" max="11265" width="26.875" style="62" customWidth="1"/>
    <col min="11266" max="11278" width="16.125" style="62" customWidth="1"/>
    <col min="11279" max="11520" width="9" style="62"/>
    <col min="11521" max="11521" width="26.875" style="62" customWidth="1"/>
    <col min="11522" max="11534" width="16.125" style="62" customWidth="1"/>
    <col min="11535" max="11776" width="9" style="62"/>
    <col min="11777" max="11777" width="26.875" style="62" customWidth="1"/>
    <col min="11778" max="11790" width="16.125" style="62" customWidth="1"/>
    <col min="11791" max="12032" width="9" style="62"/>
    <col min="12033" max="12033" width="26.875" style="62" customWidth="1"/>
    <col min="12034" max="12046" width="16.125" style="62" customWidth="1"/>
    <col min="12047" max="12288" width="9" style="62"/>
    <col min="12289" max="12289" width="26.875" style="62" customWidth="1"/>
    <col min="12290" max="12302" width="16.125" style="62" customWidth="1"/>
    <col min="12303" max="12544" width="9" style="62"/>
    <col min="12545" max="12545" width="26.875" style="62" customWidth="1"/>
    <col min="12546" max="12558" width="16.125" style="62" customWidth="1"/>
    <col min="12559" max="12800" width="9" style="62"/>
    <col min="12801" max="12801" width="26.875" style="62" customWidth="1"/>
    <col min="12802" max="12814" width="16.125" style="62" customWidth="1"/>
    <col min="12815" max="13056" width="9" style="62"/>
    <col min="13057" max="13057" width="26.875" style="62" customWidth="1"/>
    <col min="13058" max="13070" width="16.125" style="62" customWidth="1"/>
    <col min="13071" max="13312" width="9" style="62"/>
    <col min="13313" max="13313" width="26.875" style="62" customWidth="1"/>
    <col min="13314" max="13326" width="16.125" style="62" customWidth="1"/>
    <col min="13327" max="13568" width="9" style="62"/>
    <col min="13569" max="13569" width="26.875" style="62" customWidth="1"/>
    <col min="13570" max="13582" width="16.125" style="62" customWidth="1"/>
    <col min="13583" max="13824" width="9" style="62"/>
    <col min="13825" max="13825" width="26.875" style="62" customWidth="1"/>
    <col min="13826" max="13838" width="16.125" style="62" customWidth="1"/>
    <col min="13839" max="14080" width="9" style="62"/>
    <col min="14081" max="14081" width="26.875" style="62" customWidth="1"/>
    <col min="14082" max="14094" width="16.125" style="62" customWidth="1"/>
    <col min="14095" max="14336" width="9" style="62"/>
    <col min="14337" max="14337" width="26.875" style="62" customWidth="1"/>
    <col min="14338" max="14350" width="16.125" style="62" customWidth="1"/>
    <col min="14351" max="14592" width="9" style="62"/>
    <col min="14593" max="14593" width="26.875" style="62" customWidth="1"/>
    <col min="14594" max="14606" width="16.125" style="62" customWidth="1"/>
    <col min="14607" max="14848" width="9" style="62"/>
    <col min="14849" max="14849" width="26.875" style="62" customWidth="1"/>
    <col min="14850" max="14862" width="16.125" style="62" customWidth="1"/>
    <col min="14863" max="15104" width="9" style="62"/>
    <col min="15105" max="15105" width="26.875" style="62" customWidth="1"/>
    <col min="15106" max="15118" width="16.125" style="62" customWidth="1"/>
    <col min="15119" max="15360" width="9" style="62"/>
    <col min="15361" max="15361" width="26.875" style="62" customWidth="1"/>
    <col min="15362" max="15374" width="16.125" style="62" customWidth="1"/>
    <col min="15375" max="15616" width="9" style="62"/>
    <col min="15617" max="15617" width="26.875" style="62" customWidth="1"/>
    <col min="15618" max="15630" width="16.125" style="62" customWidth="1"/>
    <col min="15631" max="15872" width="9" style="62"/>
    <col min="15873" max="15873" width="26.875" style="62" customWidth="1"/>
    <col min="15874" max="15886" width="16.125" style="62" customWidth="1"/>
    <col min="15887" max="16128" width="9" style="62"/>
    <col min="16129" max="16129" width="26.875" style="62" customWidth="1"/>
    <col min="16130" max="16142" width="16.125" style="62" customWidth="1"/>
    <col min="16143" max="16384" width="9" style="62"/>
  </cols>
  <sheetData>
    <row r="1" spans="1:15" ht="12.75" customHeight="1" x14ac:dyDescent="0.2">
      <c r="A1" s="107" t="s">
        <v>352</v>
      </c>
      <c r="B1" s="107"/>
      <c r="C1" s="107"/>
      <c r="D1" s="107"/>
      <c r="E1" s="107"/>
      <c r="F1" s="107"/>
      <c r="G1" s="107"/>
      <c r="H1" s="107"/>
      <c r="I1" s="107"/>
      <c r="J1" s="107"/>
      <c r="K1" s="107"/>
      <c r="L1" s="107"/>
      <c r="M1" s="107"/>
      <c r="N1" s="107"/>
    </row>
    <row r="2" spans="1:15" ht="12.75" customHeight="1" x14ac:dyDescent="0.2">
      <c r="A2" s="108" t="s">
        <v>1</v>
      </c>
      <c r="B2" s="108"/>
      <c r="C2" s="108"/>
      <c r="D2" s="108"/>
      <c r="E2" s="108"/>
      <c r="F2" s="108"/>
      <c r="G2" s="108"/>
      <c r="H2" s="108"/>
      <c r="I2" s="108"/>
      <c r="J2" s="108"/>
      <c r="K2" s="108"/>
      <c r="L2" s="108"/>
      <c r="M2" s="108"/>
      <c r="N2" s="108"/>
    </row>
    <row r="3" spans="1:15" ht="12.75" customHeight="1" x14ac:dyDescent="0.2">
      <c r="A3" s="108" t="s">
        <v>353</v>
      </c>
      <c r="B3" s="108"/>
      <c r="C3" s="108"/>
      <c r="D3" s="108"/>
      <c r="E3" s="108"/>
      <c r="F3" s="108"/>
      <c r="G3" s="108"/>
      <c r="H3" s="108"/>
      <c r="I3" s="108"/>
      <c r="J3" s="108"/>
      <c r="K3" s="108"/>
      <c r="L3" s="108"/>
      <c r="M3" s="108"/>
      <c r="N3" s="108"/>
    </row>
    <row r="4" spans="1:15" ht="12.75" customHeight="1" x14ac:dyDescent="0.2"/>
    <row r="5" spans="1:15" ht="12.75" customHeight="1" x14ac:dyDescent="0.2">
      <c r="A5" s="96" t="s">
        <v>4</v>
      </c>
      <c r="B5" s="97">
        <v>45748</v>
      </c>
      <c r="C5" s="97">
        <v>45778</v>
      </c>
      <c r="D5" s="97">
        <v>45809</v>
      </c>
      <c r="E5" s="97">
        <v>45839</v>
      </c>
      <c r="F5" s="97">
        <v>45870</v>
      </c>
      <c r="G5" s="97">
        <v>45901</v>
      </c>
      <c r="H5" s="97">
        <v>45931</v>
      </c>
      <c r="I5" s="97">
        <v>45962</v>
      </c>
      <c r="J5" s="97">
        <v>45992</v>
      </c>
      <c r="K5" s="97">
        <v>46023</v>
      </c>
      <c r="L5" s="97">
        <v>46054</v>
      </c>
      <c r="M5" s="97">
        <v>46082</v>
      </c>
      <c r="N5" s="96" t="s">
        <v>112</v>
      </c>
      <c r="O5" s="63"/>
    </row>
    <row r="6" spans="1:15" ht="12.75" customHeight="1" x14ac:dyDescent="0.2"/>
    <row r="7" spans="1:15" ht="12.75" customHeight="1" x14ac:dyDescent="0.2">
      <c r="A7" s="98" t="s">
        <v>354</v>
      </c>
    </row>
    <row r="8" spans="1:15" ht="12.75" customHeight="1" x14ac:dyDescent="0.2">
      <c r="A8" s="99" t="s">
        <v>355</v>
      </c>
      <c r="B8" s="99">
        <v>86500</v>
      </c>
      <c r="C8" s="99">
        <v>0</v>
      </c>
      <c r="D8" s="99">
        <v>0</v>
      </c>
      <c r="E8" s="99">
        <v>0</v>
      </c>
      <c r="F8" s="99">
        <v>0</v>
      </c>
      <c r="G8" s="99">
        <v>86500</v>
      </c>
      <c r="H8" s="99">
        <v>0</v>
      </c>
      <c r="I8" s="99">
        <v>0</v>
      </c>
      <c r="J8" s="99">
        <v>0</v>
      </c>
      <c r="K8" s="99">
        <v>0</v>
      </c>
      <c r="L8" s="99">
        <v>0</v>
      </c>
      <c r="M8" s="99">
        <v>0</v>
      </c>
      <c r="N8" s="99">
        <f t="shared" ref="N8:N35" si="0">SUM(B8:M8)</f>
        <v>173000</v>
      </c>
      <c r="O8" s="63"/>
    </row>
    <row r="9" spans="1:15" ht="12.75" customHeight="1" x14ac:dyDescent="0.2">
      <c r="A9" s="99" t="s">
        <v>356</v>
      </c>
      <c r="B9" s="99">
        <v>0</v>
      </c>
      <c r="C9" s="99">
        <v>0</v>
      </c>
      <c r="D9" s="99">
        <v>0</v>
      </c>
      <c r="E9" s="99">
        <v>0</v>
      </c>
      <c r="F9" s="99">
        <v>0</v>
      </c>
      <c r="G9" s="99">
        <v>0</v>
      </c>
      <c r="H9" s="99">
        <v>0</v>
      </c>
      <c r="I9" s="99">
        <v>0</v>
      </c>
      <c r="J9" s="99">
        <v>0</v>
      </c>
      <c r="K9" s="99">
        <v>0</v>
      </c>
      <c r="L9" s="99">
        <v>0</v>
      </c>
      <c r="M9" s="99">
        <v>0</v>
      </c>
      <c r="N9" s="99">
        <f t="shared" si="0"/>
        <v>0</v>
      </c>
      <c r="O9" s="63"/>
    </row>
    <row r="10" spans="1:15" ht="12.75" customHeight="1" x14ac:dyDescent="0.2">
      <c r="A10" s="99" t="s">
        <v>357</v>
      </c>
      <c r="B10" s="99">
        <v>0</v>
      </c>
      <c r="C10" s="99">
        <v>0</v>
      </c>
      <c r="D10" s="99">
        <v>0</v>
      </c>
      <c r="E10" s="99">
        <v>0</v>
      </c>
      <c r="F10" s="99">
        <v>0</v>
      </c>
      <c r="G10" s="99">
        <v>0</v>
      </c>
      <c r="H10" s="99">
        <v>0</v>
      </c>
      <c r="I10" s="99">
        <v>0</v>
      </c>
      <c r="J10" s="99">
        <v>0</v>
      </c>
      <c r="K10" s="99">
        <v>0</v>
      </c>
      <c r="L10" s="99">
        <v>0</v>
      </c>
      <c r="M10" s="99">
        <v>0</v>
      </c>
      <c r="N10" s="99">
        <f t="shared" si="0"/>
        <v>0</v>
      </c>
      <c r="O10" s="63"/>
    </row>
    <row r="11" spans="1:15" ht="12.75" customHeight="1" x14ac:dyDescent="0.2">
      <c r="A11" s="99" t="s">
        <v>358</v>
      </c>
      <c r="B11" s="99">
        <v>0</v>
      </c>
      <c r="C11" s="99">
        <v>0</v>
      </c>
      <c r="D11" s="99">
        <v>0</v>
      </c>
      <c r="E11" s="99">
        <v>0</v>
      </c>
      <c r="F11" s="99">
        <v>0</v>
      </c>
      <c r="G11" s="99">
        <v>0</v>
      </c>
      <c r="H11" s="99">
        <v>0</v>
      </c>
      <c r="I11" s="99">
        <v>0</v>
      </c>
      <c r="J11" s="99">
        <v>0</v>
      </c>
      <c r="K11" s="99">
        <v>0</v>
      </c>
      <c r="L11" s="99">
        <v>0</v>
      </c>
      <c r="M11" s="99">
        <v>0</v>
      </c>
      <c r="N11" s="99">
        <f t="shared" si="0"/>
        <v>0</v>
      </c>
      <c r="O11" s="63"/>
    </row>
    <row r="12" spans="1:15" ht="12.75" customHeight="1" x14ac:dyDescent="0.2">
      <c r="A12" s="99" t="s">
        <v>359</v>
      </c>
      <c r="B12" s="99">
        <v>0</v>
      </c>
      <c r="C12" s="99">
        <v>0</v>
      </c>
      <c r="D12" s="99">
        <v>0</v>
      </c>
      <c r="E12" s="99">
        <v>0</v>
      </c>
      <c r="F12" s="99">
        <v>0</v>
      </c>
      <c r="G12" s="99">
        <v>0</v>
      </c>
      <c r="H12" s="99">
        <v>0</v>
      </c>
      <c r="I12" s="99">
        <v>235</v>
      </c>
      <c r="J12" s="99">
        <v>200</v>
      </c>
      <c r="K12" s="99">
        <v>0</v>
      </c>
      <c r="L12" s="99">
        <v>0</v>
      </c>
      <c r="M12" s="99">
        <v>0</v>
      </c>
      <c r="N12" s="99">
        <f t="shared" si="0"/>
        <v>435</v>
      </c>
      <c r="O12" s="63"/>
    </row>
    <row r="13" spans="1:15" ht="12.75" customHeight="1" x14ac:dyDescent="0.2">
      <c r="A13" s="99" t="s">
        <v>360</v>
      </c>
      <c r="B13" s="99">
        <v>35</v>
      </c>
      <c r="C13" s="99">
        <v>35</v>
      </c>
      <c r="D13" s="99">
        <v>35</v>
      </c>
      <c r="E13" s="99">
        <v>35</v>
      </c>
      <c r="F13" s="99">
        <v>35</v>
      </c>
      <c r="G13" s="99">
        <v>35</v>
      </c>
      <c r="H13" s="99">
        <v>35</v>
      </c>
      <c r="I13" s="99">
        <v>35</v>
      </c>
      <c r="J13" s="99">
        <v>35</v>
      </c>
      <c r="K13" s="99">
        <v>35</v>
      </c>
      <c r="L13" s="99">
        <v>34</v>
      </c>
      <c r="M13" s="99">
        <v>34</v>
      </c>
      <c r="N13" s="99">
        <f t="shared" si="0"/>
        <v>418</v>
      </c>
      <c r="O13" s="63"/>
    </row>
    <row r="14" spans="1:15" ht="12.75" customHeight="1" x14ac:dyDescent="0.2">
      <c r="A14" s="99" t="s">
        <v>361</v>
      </c>
      <c r="B14" s="99">
        <v>0</v>
      </c>
      <c r="C14" s="99">
        <v>0</v>
      </c>
      <c r="D14" s="99">
        <v>0</v>
      </c>
      <c r="E14" s="99">
        <v>0</v>
      </c>
      <c r="F14" s="99">
        <v>0</v>
      </c>
      <c r="G14" s="99">
        <v>0</v>
      </c>
      <c r="H14" s="99">
        <v>0</v>
      </c>
      <c r="I14" s="99">
        <v>0</v>
      </c>
      <c r="J14" s="99">
        <v>0</v>
      </c>
      <c r="K14" s="99">
        <v>13</v>
      </c>
      <c r="L14" s="99">
        <v>0</v>
      </c>
      <c r="M14" s="99">
        <v>0</v>
      </c>
      <c r="N14" s="99">
        <f t="shared" si="0"/>
        <v>13</v>
      </c>
      <c r="O14" s="63"/>
    </row>
    <row r="15" spans="1:15" ht="12.75" customHeight="1" x14ac:dyDescent="0.2">
      <c r="A15" s="99" t="s">
        <v>362</v>
      </c>
      <c r="B15" s="99">
        <v>0</v>
      </c>
      <c r="C15" s="99">
        <v>0</v>
      </c>
      <c r="D15" s="99">
        <v>0</v>
      </c>
      <c r="E15" s="99">
        <v>0</v>
      </c>
      <c r="F15" s="99">
        <v>0</v>
      </c>
      <c r="G15" s="99">
        <v>0</v>
      </c>
      <c r="H15" s="99">
        <v>0</v>
      </c>
      <c r="I15" s="99">
        <v>0</v>
      </c>
      <c r="J15" s="99">
        <v>0</v>
      </c>
      <c r="K15" s="99">
        <v>0</v>
      </c>
      <c r="L15" s="99">
        <v>0</v>
      </c>
      <c r="M15" s="99">
        <v>0</v>
      </c>
      <c r="N15" s="99">
        <f t="shared" si="0"/>
        <v>0</v>
      </c>
      <c r="O15" s="63"/>
    </row>
    <row r="16" spans="1:15" ht="12.75" customHeight="1" x14ac:dyDescent="0.2">
      <c r="A16" s="99" t="s">
        <v>363</v>
      </c>
      <c r="B16" s="99">
        <v>0</v>
      </c>
      <c r="C16" s="99">
        <v>0</v>
      </c>
      <c r="D16" s="99">
        <v>0</v>
      </c>
      <c r="E16" s="99">
        <v>0</v>
      </c>
      <c r="F16" s="99">
        <v>0</v>
      </c>
      <c r="G16" s="99">
        <v>0</v>
      </c>
      <c r="H16" s="99">
        <v>0</v>
      </c>
      <c r="I16" s="99">
        <v>0</v>
      </c>
      <c r="J16" s="99">
        <v>0</v>
      </c>
      <c r="K16" s="99">
        <v>0</v>
      </c>
      <c r="L16" s="99">
        <v>0</v>
      </c>
      <c r="M16" s="99">
        <v>0</v>
      </c>
      <c r="N16" s="99">
        <f t="shared" si="0"/>
        <v>0</v>
      </c>
      <c r="O16" s="63"/>
    </row>
    <row r="17" spans="1:15" ht="12.75" customHeight="1" x14ac:dyDescent="0.2">
      <c r="A17" s="99" t="s">
        <v>364</v>
      </c>
      <c r="B17" s="99">
        <v>0</v>
      </c>
      <c r="C17" s="99">
        <v>0</v>
      </c>
      <c r="D17" s="99">
        <v>0</v>
      </c>
      <c r="E17" s="99">
        <v>0</v>
      </c>
      <c r="F17" s="99">
        <v>0</v>
      </c>
      <c r="G17" s="99">
        <v>0</v>
      </c>
      <c r="H17" s="99">
        <v>0</v>
      </c>
      <c r="I17" s="99">
        <v>0</v>
      </c>
      <c r="J17" s="99">
        <v>0</v>
      </c>
      <c r="K17" s="99">
        <v>0</v>
      </c>
      <c r="L17" s="99">
        <v>0</v>
      </c>
      <c r="M17" s="99">
        <v>0</v>
      </c>
      <c r="N17" s="99">
        <f t="shared" si="0"/>
        <v>0</v>
      </c>
      <c r="O17" s="63"/>
    </row>
    <row r="18" spans="1:15" ht="12.75" customHeight="1" x14ac:dyDescent="0.2">
      <c r="A18" s="99" t="s">
        <v>365</v>
      </c>
      <c r="B18" s="99">
        <v>0</v>
      </c>
      <c r="C18" s="99">
        <v>0</v>
      </c>
      <c r="D18" s="99">
        <v>0</v>
      </c>
      <c r="E18" s="99">
        <v>0</v>
      </c>
      <c r="F18" s="99">
        <v>0</v>
      </c>
      <c r="G18" s="99">
        <v>0</v>
      </c>
      <c r="H18" s="99">
        <v>0</v>
      </c>
      <c r="I18" s="99">
        <v>0</v>
      </c>
      <c r="J18" s="99">
        <v>0</v>
      </c>
      <c r="K18" s="99">
        <v>0</v>
      </c>
      <c r="L18" s="99">
        <v>0</v>
      </c>
      <c r="M18" s="99">
        <v>0</v>
      </c>
      <c r="N18" s="99">
        <f t="shared" si="0"/>
        <v>0</v>
      </c>
      <c r="O18" s="63"/>
    </row>
    <row r="19" spans="1:15" ht="12.75" customHeight="1" x14ac:dyDescent="0.2">
      <c r="A19" s="99" t="s">
        <v>366</v>
      </c>
      <c r="B19" s="99">
        <v>0</v>
      </c>
      <c r="C19" s="99">
        <v>0</v>
      </c>
      <c r="D19" s="99">
        <v>0</v>
      </c>
      <c r="E19" s="99">
        <v>0</v>
      </c>
      <c r="F19" s="99">
        <v>0</v>
      </c>
      <c r="G19" s="99">
        <v>0</v>
      </c>
      <c r="H19" s="99">
        <v>0</v>
      </c>
      <c r="I19" s="99">
        <v>0</v>
      </c>
      <c r="J19" s="99">
        <v>0</v>
      </c>
      <c r="K19" s="99">
        <v>0</v>
      </c>
      <c r="L19" s="99">
        <v>0</v>
      </c>
      <c r="M19" s="99">
        <v>0</v>
      </c>
      <c r="N19" s="99">
        <f t="shared" si="0"/>
        <v>0</v>
      </c>
      <c r="O19" s="63"/>
    </row>
    <row r="20" spans="1:15" ht="12.75" customHeight="1" x14ac:dyDescent="0.2">
      <c r="A20" s="99" t="s">
        <v>367</v>
      </c>
      <c r="B20" s="99">
        <v>0</v>
      </c>
      <c r="C20" s="99">
        <v>0</v>
      </c>
      <c r="D20" s="99">
        <v>0</v>
      </c>
      <c r="E20" s="99">
        <v>0</v>
      </c>
      <c r="F20" s="99">
        <v>0</v>
      </c>
      <c r="G20" s="99">
        <v>0</v>
      </c>
      <c r="H20" s="99">
        <v>0</v>
      </c>
      <c r="I20" s="99">
        <v>0</v>
      </c>
      <c r="J20" s="99">
        <v>0</v>
      </c>
      <c r="K20" s="99">
        <v>0</v>
      </c>
      <c r="L20" s="99">
        <v>0</v>
      </c>
      <c r="M20" s="99">
        <v>0</v>
      </c>
      <c r="N20" s="99">
        <f t="shared" si="0"/>
        <v>0</v>
      </c>
      <c r="O20" s="63"/>
    </row>
    <row r="21" spans="1:15" ht="12.75" customHeight="1" x14ac:dyDescent="0.2">
      <c r="A21" s="99" t="s">
        <v>368</v>
      </c>
      <c r="B21" s="99">
        <v>0</v>
      </c>
      <c r="C21" s="99">
        <v>0</v>
      </c>
      <c r="D21" s="99">
        <v>0</v>
      </c>
      <c r="E21" s="99">
        <v>0</v>
      </c>
      <c r="F21" s="99">
        <v>0</v>
      </c>
      <c r="G21" s="99">
        <v>0</v>
      </c>
      <c r="H21" s="99">
        <v>0</v>
      </c>
      <c r="I21" s="99">
        <v>0</v>
      </c>
      <c r="J21" s="99">
        <v>0</v>
      </c>
      <c r="K21" s="99">
        <v>0</v>
      </c>
      <c r="L21" s="99">
        <v>0</v>
      </c>
      <c r="M21" s="99">
        <v>0</v>
      </c>
      <c r="N21" s="99">
        <f t="shared" si="0"/>
        <v>0</v>
      </c>
      <c r="O21" s="63"/>
    </row>
    <row r="22" spans="1:15" ht="12.75" customHeight="1" x14ac:dyDescent="0.2">
      <c r="A22" s="99" t="s">
        <v>369</v>
      </c>
      <c r="B22" s="99">
        <v>0</v>
      </c>
      <c r="C22" s="99">
        <v>0</v>
      </c>
      <c r="D22" s="99">
        <v>0</v>
      </c>
      <c r="E22" s="99">
        <v>0</v>
      </c>
      <c r="F22" s="99">
        <v>0</v>
      </c>
      <c r="G22" s="99">
        <v>0</v>
      </c>
      <c r="H22" s="99">
        <v>0</v>
      </c>
      <c r="I22" s="99">
        <v>0</v>
      </c>
      <c r="J22" s="99">
        <v>0</v>
      </c>
      <c r="K22" s="99">
        <v>0</v>
      </c>
      <c r="L22" s="99">
        <v>0</v>
      </c>
      <c r="M22" s="99">
        <v>0</v>
      </c>
      <c r="N22" s="99">
        <f t="shared" si="0"/>
        <v>0</v>
      </c>
      <c r="O22" s="63"/>
    </row>
    <row r="23" spans="1:15" ht="12.75" customHeight="1" x14ac:dyDescent="0.2">
      <c r="A23" s="99" t="s">
        <v>370</v>
      </c>
      <c r="B23" s="99">
        <v>0</v>
      </c>
      <c r="C23" s="99">
        <v>0</v>
      </c>
      <c r="D23" s="99">
        <v>0</v>
      </c>
      <c r="E23" s="99">
        <v>0</v>
      </c>
      <c r="F23" s="99">
        <v>0</v>
      </c>
      <c r="G23" s="99">
        <v>0</v>
      </c>
      <c r="H23" s="99">
        <v>0</v>
      </c>
      <c r="I23" s="99">
        <v>0</v>
      </c>
      <c r="J23" s="99">
        <v>0</v>
      </c>
      <c r="K23" s="99">
        <v>0</v>
      </c>
      <c r="L23" s="99">
        <v>0</v>
      </c>
      <c r="M23" s="99">
        <v>0</v>
      </c>
      <c r="N23" s="99">
        <f t="shared" si="0"/>
        <v>0</v>
      </c>
      <c r="O23" s="63"/>
    </row>
    <row r="24" spans="1:15" ht="12.75" customHeight="1" x14ac:dyDescent="0.2">
      <c r="A24" s="99" t="s">
        <v>371</v>
      </c>
      <c r="B24" s="99">
        <v>944</v>
      </c>
      <c r="C24" s="99">
        <v>944</v>
      </c>
      <c r="D24" s="99">
        <v>944</v>
      </c>
      <c r="E24" s="99">
        <v>944</v>
      </c>
      <c r="F24" s="99">
        <v>944</v>
      </c>
      <c r="G24" s="99">
        <v>944</v>
      </c>
      <c r="H24" s="99">
        <v>944</v>
      </c>
      <c r="I24" s="99">
        <v>944</v>
      </c>
      <c r="J24" s="99">
        <v>944</v>
      </c>
      <c r="K24" s="99">
        <v>944</v>
      </c>
      <c r="L24" s="99">
        <v>943</v>
      </c>
      <c r="M24" s="99">
        <v>943</v>
      </c>
      <c r="N24" s="99">
        <f t="shared" si="0"/>
        <v>11326</v>
      </c>
      <c r="O24" s="63"/>
    </row>
    <row r="25" spans="1:15" ht="12.75" customHeight="1" x14ac:dyDescent="0.2">
      <c r="A25" s="99" t="s">
        <v>372</v>
      </c>
      <c r="B25" s="99">
        <v>0</v>
      </c>
      <c r="C25" s="99">
        <v>0</v>
      </c>
      <c r="D25" s="99">
        <v>0</v>
      </c>
      <c r="E25" s="99">
        <v>0</v>
      </c>
      <c r="F25" s="99">
        <v>0</v>
      </c>
      <c r="G25" s="99">
        <v>0</v>
      </c>
      <c r="H25" s="99">
        <v>0</v>
      </c>
      <c r="I25" s="99">
        <v>0</v>
      </c>
      <c r="J25" s="99">
        <v>0</v>
      </c>
      <c r="K25" s="99">
        <v>0</v>
      </c>
      <c r="L25" s="99">
        <v>0</v>
      </c>
      <c r="M25" s="99">
        <v>0</v>
      </c>
      <c r="N25" s="99">
        <f t="shared" si="0"/>
        <v>0</v>
      </c>
      <c r="O25" s="63"/>
    </row>
    <row r="26" spans="1:15" ht="12.75" customHeight="1" x14ac:dyDescent="0.2">
      <c r="A26" s="99" t="s">
        <v>373</v>
      </c>
      <c r="B26" s="99">
        <v>0</v>
      </c>
      <c r="C26" s="99">
        <v>0</v>
      </c>
      <c r="D26" s="99">
        <v>0</v>
      </c>
      <c r="E26" s="99">
        <v>0</v>
      </c>
      <c r="F26" s="99">
        <v>0</v>
      </c>
      <c r="G26" s="99">
        <v>0</v>
      </c>
      <c r="H26" s="99">
        <v>0</v>
      </c>
      <c r="I26" s="99">
        <v>0</v>
      </c>
      <c r="J26" s="99">
        <v>0</v>
      </c>
      <c r="K26" s="99">
        <v>0</v>
      </c>
      <c r="L26" s="99">
        <v>0</v>
      </c>
      <c r="M26" s="99">
        <v>0</v>
      </c>
      <c r="N26" s="99">
        <f t="shared" si="0"/>
        <v>0</v>
      </c>
      <c r="O26" s="63"/>
    </row>
    <row r="27" spans="1:15" ht="12.75" customHeight="1" x14ac:dyDescent="0.2">
      <c r="A27" s="99" t="s">
        <v>374</v>
      </c>
      <c r="B27" s="99">
        <v>0</v>
      </c>
      <c r="C27" s="99">
        <v>0</v>
      </c>
      <c r="D27" s="99">
        <v>0</v>
      </c>
      <c r="E27" s="99">
        <v>0</v>
      </c>
      <c r="F27" s="99">
        <v>0</v>
      </c>
      <c r="G27" s="99">
        <v>0</v>
      </c>
      <c r="H27" s="99">
        <v>0</v>
      </c>
      <c r="I27" s="99">
        <v>0</v>
      </c>
      <c r="J27" s="99">
        <v>0</v>
      </c>
      <c r="K27" s="99">
        <v>0</v>
      </c>
      <c r="L27" s="99">
        <v>0</v>
      </c>
      <c r="M27" s="99">
        <v>0</v>
      </c>
      <c r="N27" s="99">
        <f t="shared" si="0"/>
        <v>0</v>
      </c>
      <c r="O27" s="63"/>
    </row>
    <row r="28" spans="1:15" ht="12.75" customHeight="1" x14ac:dyDescent="0.2">
      <c r="A28" s="99" t="s">
        <v>375</v>
      </c>
      <c r="B28" s="99">
        <v>189</v>
      </c>
      <c r="C28" s="99">
        <v>189</v>
      </c>
      <c r="D28" s="99">
        <v>0</v>
      </c>
      <c r="E28" s="99">
        <v>0</v>
      </c>
      <c r="F28" s="99">
        <v>0</v>
      </c>
      <c r="G28" s="99">
        <v>189</v>
      </c>
      <c r="H28" s="99">
        <v>189</v>
      </c>
      <c r="I28" s="99">
        <v>189</v>
      </c>
      <c r="J28" s="99">
        <v>189</v>
      </c>
      <c r="K28" s="99">
        <v>189</v>
      </c>
      <c r="L28" s="99">
        <v>189</v>
      </c>
      <c r="M28" s="99">
        <v>188</v>
      </c>
      <c r="N28" s="99">
        <f t="shared" si="0"/>
        <v>1700</v>
      </c>
      <c r="O28" s="63"/>
    </row>
    <row r="29" spans="1:15" ht="12.75" customHeight="1" x14ac:dyDescent="0.2">
      <c r="A29" s="99" t="s">
        <v>376</v>
      </c>
      <c r="B29" s="99">
        <v>0</v>
      </c>
      <c r="C29" s="99">
        <v>0</v>
      </c>
      <c r="D29" s="99">
        <v>0</v>
      </c>
      <c r="E29" s="99">
        <v>0</v>
      </c>
      <c r="F29" s="99">
        <v>0</v>
      </c>
      <c r="G29" s="99">
        <v>0</v>
      </c>
      <c r="H29" s="99">
        <v>0</v>
      </c>
      <c r="I29" s="99">
        <v>0</v>
      </c>
      <c r="J29" s="99">
        <v>0</v>
      </c>
      <c r="K29" s="99">
        <v>0</v>
      </c>
      <c r="L29" s="99">
        <v>0</v>
      </c>
      <c r="M29" s="99">
        <v>0</v>
      </c>
      <c r="N29" s="99">
        <f t="shared" si="0"/>
        <v>0</v>
      </c>
      <c r="O29" s="63"/>
    </row>
    <row r="30" spans="1:15" ht="12.75" customHeight="1" x14ac:dyDescent="0.2">
      <c r="A30" s="99" t="s">
        <v>377</v>
      </c>
      <c r="B30" s="99">
        <v>46</v>
      </c>
      <c r="C30" s="99">
        <v>46</v>
      </c>
      <c r="D30" s="99">
        <v>46</v>
      </c>
      <c r="E30" s="99">
        <v>46</v>
      </c>
      <c r="F30" s="99">
        <v>46</v>
      </c>
      <c r="G30" s="99">
        <v>46</v>
      </c>
      <c r="H30" s="99">
        <v>46</v>
      </c>
      <c r="I30" s="99">
        <v>46</v>
      </c>
      <c r="J30" s="99">
        <v>46</v>
      </c>
      <c r="K30" s="99">
        <v>46</v>
      </c>
      <c r="L30" s="99">
        <v>45</v>
      </c>
      <c r="M30" s="99">
        <v>45</v>
      </c>
      <c r="N30" s="99">
        <f t="shared" si="0"/>
        <v>550</v>
      </c>
      <c r="O30" s="63"/>
    </row>
    <row r="31" spans="1:15" ht="12.75" customHeight="1" x14ac:dyDescent="0.2">
      <c r="A31" s="99" t="s">
        <v>378</v>
      </c>
      <c r="B31" s="99">
        <v>0</v>
      </c>
      <c r="C31" s="99">
        <v>0</v>
      </c>
      <c r="D31" s="99">
        <v>0</v>
      </c>
      <c r="E31" s="99">
        <v>0</v>
      </c>
      <c r="F31" s="99">
        <v>0</v>
      </c>
      <c r="G31" s="99">
        <v>0</v>
      </c>
      <c r="H31" s="99">
        <v>0</v>
      </c>
      <c r="I31" s="99">
        <v>0</v>
      </c>
      <c r="J31" s="99">
        <v>0</v>
      </c>
      <c r="K31" s="99">
        <v>0</v>
      </c>
      <c r="L31" s="99">
        <v>0</v>
      </c>
      <c r="M31" s="99">
        <v>0</v>
      </c>
      <c r="N31" s="99">
        <f t="shared" si="0"/>
        <v>0</v>
      </c>
      <c r="O31" s="63"/>
    </row>
    <row r="32" spans="1:15" ht="12.75" customHeight="1" x14ac:dyDescent="0.2">
      <c r="A32" s="99" t="s">
        <v>379</v>
      </c>
      <c r="B32" s="99">
        <v>0</v>
      </c>
      <c r="C32" s="99">
        <v>0</v>
      </c>
      <c r="D32" s="99">
        <v>0</v>
      </c>
      <c r="E32" s="99">
        <v>0</v>
      </c>
      <c r="F32" s="99">
        <v>0</v>
      </c>
      <c r="G32" s="99">
        <v>0</v>
      </c>
      <c r="H32" s="99">
        <v>0</v>
      </c>
      <c r="I32" s="99">
        <v>0</v>
      </c>
      <c r="J32" s="99">
        <v>0</v>
      </c>
      <c r="K32" s="99">
        <v>0</v>
      </c>
      <c r="L32" s="99">
        <v>0</v>
      </c>
      <c r="M32" s="99">
        <v>0</v>
      </c>
      <c r="N32" s="99">
        <f t="shared" si="0"/>
        <v>0</v>
      </c>
      <c r="O32" s="63"/>
    </row>
    <row r="33" spans="1:15" ht="12.75" customHeight="1" x14ac:dyDescent="0.2">
      <c r="A33" s="99" t="s">
        <v>380</v>
      </c>
      <c r="B33" s="99">
        <v>0</v>
      </c>
      <c r="C33" s="99">
        <v>0</v>
      </c>
      <c r="D33" s="99">
        <v>0</v>
      </c>
      <c r="E33" s="99">
        <v>0</v>
      </c>
      <c r="F33" s="99">
        <v>0</v>
      </c>
      <c r="G33" s="99">
        <v>0</v>
      </c>
      <c r="H33" s="99">
        <v>0</v>
      </c>
      <c r="I33" s="99">
        <v>0</v>
      </c>
      <c r="J33" s="99">
        <v>0</v>
      </c>
      <c r="K33" s="99">
        <v>0</v>
      </c>
      <c r="L33" s="99">
        <v>0</v>
      </c>
      <c r="M33" s="99">
        <v>0</v>
      </c>
      <c r="N33" s="99">
        <f t="shared" si="0"/>
        <v>0</v>
      </c>
      <c r="O33" s="63"/>
    </row>
    <row r="34" spans="1:15" ht="12.75" customHeight="1" x14ac:dyDescent="0.2">
      <c r="A34" s="99" t="s">
        <v>381</v>
      </c>
      <c r="B34" s="99">
        <v>0</v>
      </c>
      <c r="C34" s="99">
        <v>0</v>
      </c>
      <c r="D34" s="99">
        <v>0</v>
      </c>
      <c r="E34" s="99">
        <v>0</v>
      </c>
      <c r="F34" s="99">
        <v>0</v>
      </c>
      <c r="G34" s="99">
        <v>0</v>
      </c>
      <c r="H34" s="99">
        <v>0</v>
      </c>
      <c r="I34" s="99">
        <v>0</v>
      </c>
      <c r="J34" s="99">
        <v>0</v>
      </c>
      <c r="K34" s="99">
        <v>525</v>
      </c>
      <c r="L34" s="99">
        <v>0</v>
      </c>
      <c r="M34" s="99">
        <v>0</v>
      </c>
      <c r="N34" s="99">
        <f t="shared" si="0"/>
        <v>525</v>
      </c>
      <c r="O34" s="63"/>
    </row>
    <row r="35" spans="1:15" ht="12.75" customHeight="1" x14ac:dyDescent="0.2">
      <c r="A35" s="100" t="s">
        <v>382</v>
      </c>
      <c r="B35" s="101">
        <f t="shared" ref="B35:M35" si="1">SUM(B8:B34)</f>
        <v>87714</v>
      </c>
      <c r="C35" s="101">
        <f t="shared" si="1"/>
        <v>1214</v>
      </c>
      <c r="D35" s="101">
        <f t="shared" si="1"/>
        <v>1025</v>
      </c>
      <c r="E35" s="101">
        <f t="shared" si="1"/>
        <v>1025</v>
      </c>
      <c r="F35" s="101">
        <f t="shared" si="1"/>
        <v>1025</v>
      </c>
      <c r="G35" s="101">
        <f t="shared" si="1"/>
        <v>87714</v>
      </c>
      <c r="H35" s="101">
        <f t="shared" si="1"/>
        <v>1214</v>
      </c>
      <c r="I35" s="101">
        <f t="shared" si="1"/>
        <v>1449</v>
      </c>
      <c r="J35" s="101">
        <f t="shared" si="1"/>
        <v>1414</v>
      </c>
      <c r="K35" s="101">
        <f t="shared" si="1"/>
        <v>1752</v>
      </c>
      <c r="L35" s="101">
        <f t="shared" si="1"/>
        <v>1211</v>
      </c>
      <c r="M35" s="101">
        <f t="shared" si="1"/>
        <v>1210</v>
      </c>
      <c r="N35" s="102">
        <f t="shared" si="0"/>
        <v>187967</v>
      </c>
      <c r="O35" s="63"/>
    </row>
    <row r="36" spans="1:15" ht="12.75" customHeight="1" x14ac:dyDescent="0.2"/>
    <row r="37" spans="1:15" ht="12.75" customHeight="1" thickBot="1" x14ac:dyDescent="0.25">
      <c r="A37" s="103" t="s">
        <v>383</v>
      </c>
      <c r="B37" s="104">
        <f t="shared" ref="B37:M37" si="2">(0+(B35))-(0+(0))</f>
        <v>87714</v>
      </c>
      <c r="C37" s="104">
        <f t="shared" si="2"/>
        <v>1214</v>
      </c>
      <c r="D37" s="104">
        <f t="shared" si="2"/>
        <v>1025</v>
      </c>
      <c r="E37" s="104">
        <f t="shared" si="2"/>
        <v>1025</v>
      </c>
      <c r="F37" s="104">
        <f t="shared" si="2"/>
        <v>1025</v>
      </c>
      <c r="G37" s="104">
        <f t="shared" si="2"/>
        <v>87714</v>
      </c>
      <c r="H37" s="104">
        <f t="shared" si="2"/>
        <v>1214</v>
      </c>
      <c r="I37" s="104">
        <f t="shared" si="2"/>
        <v>1449</v>
      </c>
      <c r="J37" s="104">
        <f t="shared" si="2"/>
        <v>1414</v>
      </c>
      <c r="K37" s="104">
        <f t="shared" si="2"/>
        <v>1752</v>
      </c>
      <c r="L37" s="104">
        <f t="shared" si="2"/>
        <v>1211</v>
      </c>
      <c r="M37" s="104">
        <f t="shared" si="2"/>
        <v>1210</v>
      </c>
      <c r="N37" s="104">
        <f>SUM(B37:M37)</f>
        <v>187967</v>
      </c>
      <c r="O37" s="63"/>
    </row>
    <row r="38" spans="1:15" ht="12.75" customHeight="1" thickTop="1" x14ac:dyDescent="0.2"/>
    <row r="39" spans="1:15" ht="12.75" customHeight="1" x14ac:dyDescent="0.2">
      <c r="A39" s="98" t="s">
        <v>384</v>
      </c>
    </row>
    <row r="40" spans="1:15" ht="12.75" customHeight="1" x14ac:dyDescent="0.2">
      <c r="A40" s="99" t="s">
        <v>385</v>
      </c>
      <c r="B40" s="99">
        <v>0</v>
      </c>
      <c r="C40" s="99">
        <v>0</v>
      </c>
      <c r="D40" s="99">
        <v>0</v>
      </c>
      <c r="E40" s="99">
        <v>0</v>
      </c>
      <c r="F40" s="99">
        <v>0</v>
      </c>
      <c r="G40" s="99">
        <v>0</v>
      </c>
      <c r="H40" s="99">
        <v>0</v>
      </c>
      <c r="I40" s="99">
        <v>0</v>
      </c>
      <c r="J40" s="99">
        <v>0</v>
      </c>
      <c r="K40" s="99">
        <v>0</v>
      </c>
      <c r="L40" s="99">
        <v>0</v>
      </c>
      <c r="M40" s="99">
        <v>0</v>
      </c>
      <c r="N40" s="99">
        <f>SUM(B40:M40)</f>
        <v>0</v>
      </c>
      <c r="O40" s="63"/>
    </row>
    <row r="41" spans="1:15" ht="12.75" customHeight="1" x14ac:dyDescent="0.2">
      <c r="A41" s="99" t="s">
        <v>386</v>
      </c>
      <c r="B41" s="99">
        <v>0</v>
      </c>
      <c r="C41" s="99">
        <v>0</v>
      </c>
      <c r="D41" s="99">
        <v>0</v>
      </c>
      <c r="E41" s="99">
        <v>0</v>
      </c>
      <c r="F41" s="99">
        <v>0</v>
      </c>
      <c r="G41" s="99">
        <v>0</v>
      </c>
      <c r="H41" s="99">
        <v>0</v>
      </c>
      <c r="I41" s="99">
        <v>0</v>
      </c>
      <c r="J41" s="99">
        <v>0</v>
      </c>
      <c r="K41" s="99">
        <v>0</v>
      </c>
      <c r="L41" s="99">
        <v>0</v>
      </c>
      <c r="M41" s="99">
        <v>0</v>
      </c>
      <c r="N41" s="99">
        <f>SUM(B41:M41)</f>
        <v>0</v>
      </c>
      <c r="O41" s="63"/>
    </row>
    <row r="42" spans="1:15" ht="12.75" customHeight="1" x14ac:dyDescent="0.2">
      <c r="A42" s="100" t="s">
        <v>387</v>
      </c>
      <c r="B42" s="101">
        <f t="shared" ref="B42:M42" si="3">SUM(B40:B41)</f>
        <v>0</v>
      </c>
      <c r="C42" s="101">
        <f t="shared" si="3"/>
        <v>0</v>
      </c>
      <c r="D42" s="101">
        <f t="shared" si="3"/>
        <v>0</v>
      </c>
      <c r="E42" s="101">
        <f t="shared" si="3"/>
        <v>0</v>
      </c>
      <c r="F42" s="101">
        <f t="shared" si="3"/>
        <v>0</v>
      </c>
      <c r="G42" s="101">
        <f t="shared" si="3"/>
        <v>0</v>
      </c>
      <c r="H42" s="101">
        <f t="shared" si="3"/>
        <v>0</v>
      </c>
      <c r="I42" s="101">
        <f t="shared" si="3"/>
        <v>0</v>
      </c>
      <c r="J42" s="101">
        <f t="shared" si="3"/>
        <v>0</v>
      </c>
      <c r="K42" s="101">
        <f t="shared" si="3"/>
        <v>0</v>
      </c>
      <c r="L42" s="101">
        <f t="shared" si="3"/>
        <v>0</v>
      </c>
      <c r="M42" s="101">
        <f t="shared" si="3"/>
        <v>0</v>
      </c>
      <c r="N42" s="101">
        <f>SUM(B42:M42)</f>
        <v>0</v>
      </c>
      <c r="O42" s="63"/>
    </row>
    <row r="43" spans="1:15" ht="12.75" customHeight="1" x14ac:dyDescent="0.2"/>
    <row r="44" spans="1:15" ht="12.75" customHeight="1" x14ac:dyDescent="0.2">
      <c r="A44" s="98" t="s">
        <v>388</v>
      </c>
    </row>
    <row r="45" spans="1:15" ht="12.75" customHeight="1" x14ac:dyDescent="0.2">
      <c r="A45" s="99" t="s">
        <v>389</v>
      </c>
      <c r="B45" s="99">
        <v>450</v>
      </c>
      <c r="C45" s="99">
        <v>0</v>
      </c>
      <c r="D45" s="99">
        <v>0</v>
      </c>
      <c r="E45" s="99">
        <v>0</v>
      </c>
      <c r="F45" s="99">
        <v>0</v>
      </c>
      <c r="G45" s="99">
        <v>0</v>
      </c>
      <c r="H45" s="99">
        <v>0</v>
      </c>
      <c r="I45" s="99">
        <v>0</v>
      </c>
      <c r="J45" s="99">
        <v>0</v>
      </c>
      <c r="K45" s="99">
        <v>0</v>
      </c>
      <c r="L45" s="99">
        <v>0</v>
      </c>
      <c r="M45" s="99">
        <v>0</v>
      </c>
      <c r="N45" s="105">
        <f t="shared" ref="N45:N108" si="4">SUM(B45:M45)</f>
        <v>450</v>
      </c>
      <c r="O45" s="63"/>
    </row>
    <row r="46" spans="1:15" ht="12.75" customHeight="1" x14ac:dyDescent="0.2">
      <c r="A46" s="99" t="s">
        <v>390</v>
      </c>
      <c r="B46" s="99">
        <v>13</v>
      </c>
      <c r="C46" s="99">
        <v>13</v>
      </c>
      <c r="D46" s="99">
        <v>13</v>
      </c>
      <c r="E46" s="99">
        <v>13</v>
      </c>
      <c r="F46" s="99">
        <v>13</v>
      </c>
      <c r="G46" s="99">
        <v>13</v>
      </c>
      <c r="H46" s="99">
        <v>13</v>
      </c>
      <c r="I46" s="99">
        <v>13</v>
      </c>
      <c r="J46" s="99">
        <v>13</v>
      </c>
      <c r="K46" s="99">
        <v>13</v>
      </c>
      <c r="L46" s="99">
        <v>13</v>
      </c>
      <c r="M46" s="99">
        <v>13</v>
      </c>
      <c r="N46" s="99">
        <f t="shared" si="4"/>
        <v>156</v>
      </c>
      <c r="O46" s="63"/>
    </row>
    <row r="47" spans="1:15" ht="12.75" customHeight="1" x14ac:dyDescent="0.2">
      <c r="A47" s="99" t="s">
        <v>391</v>
      </c>
      <c r="B47" s="99">
        <v>0</v>
      </c>
      <c r="C47" s="99">
        <v>0</v>
      </c>
      <c r="D47" s="99">
        <v>0</v>
      </c>
      <c r="E47" s="99">
        <v>0</v>
      </c>
      <c r="F47" s="99">
        <v>0</v>
      </c>
      <c r="G47" s="99">
        <v>0</v>
      </c>
      <c r="H47" s="99">
        <v>0</v>
      </c>
      <c r="I47" s="99">
        <v>0</v>
      </c>
      <c r="J47" s="99">
        <v>0</v>
      </c>
      <c r="K47" s="99">
        <v>0</v>
      </c>
      <c r="L47" s="99">
        <v>0</v>
      </c>
      <c r="M47" s="99">
        <v>0</v>
      </c>
      <c r="N47" s="99">
        <f t="shared" si="4"/>
        <v>0</v>
      </c>
      <c r="O47" s="63"/>
    </row>
    <row r="48" spans="1:15" ht="12.75" customHeight="1" x14ac:dyDescent="0.2">
      <c r="A48" s="99" t="s">
        <v>392</v>
      </c>
      <c r="B48" s="99">
        <v>50</v>
      </c>
      <c r="C48" s="99">
        <v>0</v>
      </c>
      <c r="D48" s="99">
        <v>0</v>
      </c>
      <c r="E48" s="99">
        <v>0</v>
      </c>
      <c r="F48" s="99">
        <v>0</v>
      </c>
      <c r="G48" s="99">
        <v>0</v>
      </c>
      <c r="H48" s="99">
        <v>0</v>
      </c>
      <c r="I48" s="99">
        <v>0</v>
      </c>
      <c r="J48" s="99">
        <v>0</v>
      </c>
      <c r="K48" s="99">
        <v>0</v>
      </c>
      <c r="L48" s="99">
        <v>0</v>
      </c>
      <c r="M48" s="99">
        <v>0</v>
      </c>
      <c r="N48" s="99">
        <f t="shared" si="4"/>
        <v>50</v>
      </c>
      <c r="O48" s="63"/>
    </row>
    <row r="49" spans="1:15" ht="12.75" customHeight="1" x14ac:dyDescent="0.2">
      <c r="A49" s="99" t="s">
        <v>393</v>
      </c>
      <c r="B49" s="99">
        <v>0</v>
      </c>
      <c r="C49" s="99">
        <v>0</v>
      </c>
      <c r="D49" s="99">
        <v>0</v>
      </c>
      <c r="E49" s="99">
        <v>0</v>
      </c>
      <c r="F49" s="99">
        <v>0</v>
      </c>
      <c r="G49" s="99">
        <v>0</v>
      </c>
      <c r="H49" s="99">
        <v>0</v>
      </c>
      <c r="I49" s="99">
        <v>0</v>
      </c>
      <c r="J49" s="99">
        <v>0</v>
      </c>
      <c r="K49" s="99">
        <v>0</v>
      </c>
      <c r="L49" s="99">
        <v>0</v>
      </c>
      <c r="M49" s="99">
        <v>0</v>
      </c>
      <c r="N49" s="99">
        <f t="shared" si="4"/>
        <v>0</v>
      </c>
      <c r="O49" s="63"/>
    </row>
    <row r="50" spans="1:15" ht="12.75" customHeight="1" x14ac:dyDescent="0.2">
      <c r="A50" s="99" t="s">
        <v>394</v>
      </c>
      <c r="B50" s="99">
        <v>0</v>
      </c>
      <c r="C50" s="99">
        <v>0</v>
      </c>
      <c r="D50" s="99">
        <v>0</v>
      </c>
      <c r="E50" s="99">
        <v>0</v>
      </c>
      <c r="F50" s="99">
        <v>0</v>
      </c>
      <c r="G50" s="99">
        <v>0</v>
      </c>
      <c r="H50" s="99">
        <v>0</v>
      </c>
      <c r="I50" s="99">
        <v>0</v>
      </c>
      <c r="J50" s="99">
        <v>295</v>
      </c>
      <c r="K50" s="99">
        <v>0</v>
      </c>
      <c r="L50" s="99">
        <v>0</v>
      </c>
      <c r="M50" s="99">
        <v>0</v>
      </c>
      <c r="N50" s="99">
        <f t="shared" si="4"/>
        <v>295</v>
      </c>
      <c r="O50" s="63"/>
    </row>
    <row r="51" spans="1:15" ht="12.75" customHeight="1" x14ac:dyDescent="0.2">
      <c r="A51" s="99" t="s">
        <v>395</v>
      </c>
      <c r="B51" s="99">
        <v>500</v>
      </c>
      <c r="C51" s="99">
        <v>0</v>
      </c>
      <c r="D51" s="99">
        <v>0</v>
      </c>
      <c r="E51" s="99">
        <v>0</v>
      </c>
      <c r="F51" s="99">
        <v>0</v>
      </c>
      <c r="G51" s="99">
        <v>0</v>
      </c>
      <c r="H51" s="99">
        <v>0</v>
      </c>
      <c r="I51" s="99">
        <v>0</v>
      </c>
      <c r="J51" s="99">
        <v>0</v>
      </c>
      <c r="K51" s="99">
        <v>0</v>
      </c>
      <c r="L51" s="99">
        <v>0</v>
      </c>
      <c r="M51" s="99">
        <v>0</v>
      </c>
      <c r="N51" s="99">
        <f t="shared" si="4"/>
        <v>500</v>
      </c>
      <c r="O51" s="63"/>
    </row>
    <row r="52" spans="1:15" ht="12.75" customHeight="1" x14ac:dyDescent="0.2">
      <c r="A52" s="99" t="s">
        <v>396</v>
      </c>
      <c r="B52" s="99">
        <v>8000</v>
      </c>
      <c r="C52" s="99">
        <v>0</v>
      </c>
      <c r="D52" s="99">
        <v>0</v>
      </c>
      <c r="E52" s="99">
        <v>0</v>
      </c>
      <c r="F52" s="99">
        <v>0</v>
      </c>
      <c r="G52" s="99">
        <v>0</v>
      </c>
      <c r="H52" s="99">
        <v>0</v>
      </c>
      <c r="I52" s="99">
        <v>0</v>
      </c>
      <c r="J52" s="99">
        <v>0</v>
      </c>
      <c r="K52" s="99">
        <v>0</v>
      </c>
      <c r="L52" s="99">
        <v>0</v>
      </c>
      <c r="M52" s="99">
        <v>0</v>
      </c>
      <c r="N52" s="99">
        <f t="shared" si="4"/>
        <v>8000</v>
      </c>
      <c r="O52" s="63"/>
    </row>
    <row r="53" spans="1:15" ht="12.75" customHeight="1" x14ac:dyDescent="0.2">
      <c r="A53" s="99" t="s">
        <v>397</v>
      </c>
      <c r="B53" s="99">
        <v>0</v>
      </c>
      <c r="C53" s="99">
        <v>0</v>
      </c>
      <c r="D53" s="99">
        <v>0</v>
      </c>
      <c r="E53" s="99">
        <v>0</v>
      </c>
      <c r="F53" s="99">
        <v>0</v>
      </c>
      <c r="G53" s="99">
        <v>0</v>
      </c>
      <c r="H53" s="99">
        <v>0</v>
      </c>
      <c r="I53" s="99">
        <v>0</v>
      </c>
      <c r="J53" s="99">
        <v>0</v>
      </c>
      <c r="K53" s="99">
        <v>0</v>
      </c>
      <c r="L53" s="99">
        <v>0</v>
      </c>
      <c r="M53" s="99">
        <v>0</v>
      </c>
      <c r="N53" s="99">
        <f t="shared" si="4"/>
        <v>0</v>
      </c>
      <c r="O53" s="63"/>
    </row>
    <row r="54" spans="1:15" ht="12.75" customHeight="1" x14ac:dyDescent="0.2">
      <c r="A54" s="99" t="s">
        <v>398</v>
      </c>
      <c r="B54" s="99">
        <v>250</v>
      </c>
      <c r="C54" s="99">
        <v>250</v>
      </c>
      <c r="D54" s="99">
        <v>250</v>
      </c>
      <c r="E54" s="99">
        <v>250</v>
      </c>
      <c r="F54" s="99">
        <v>250</v>
      </c>
      <c r="G54" s="99">
        <v>250</v>
      </c>
      <c r="H54" s="99">
        <v>250</v>
      </c>
      <c r="I54" s="99">
        <v>250</v>
      </c>
      <c r="J54" s="99">
        <v>250</v>
      </c>
      <c r="K54" s="99">
        <v>250</v>
      </c>
      <c r="L54" s="99">
        <v>250</v>
      </c>
      <c r="M54" s="99">
        <v>250</v>
      </c>
      <c r="N54" s="99">
        <f t="shared" si="4"/>
        <v>3000</v>
      </c>
      <c r="O54" s="63"/>
    </row>
    <row r="55" spans="1:15" ht="12.75" customHeight="1" x14ac:dyDescent="0.2">
      <c r="A55" s="99" t="s">
        <v>399</v>
      </c>
      <c r="B55" s="99">
        <v>920</v>
      </c>
      <c r="C55" s="99">
        <v>0</v>
      </c>
      <c r="D55" s="99">
        <v>0</v>
      </c>
      <c r="E55" s="99">
        <v>0</v>
      </c>
      <c r="F55" s="99">
        <v>0</v>
      </c>
      <c r="G55" s="99">
        <v>0</v>
      </c>
      <c r="H55" s="99">
        <v>0</v>
      </c>
      <c r="I55" s="99">
        <v>0</v>
      </c>
      <c r="J55" s="99">
        <v>0</v>
      </c>
      <c r="K55" s="99">
        <v>0</v>
      </c>
      <c r="L55" s="99">
        <v>0</v>
      </c>
      <c r="M55" s="99">
        <v>0</v>
      </c>
      <c r="N55" s="99">
        <f t="shared" si="4"/>
        <v>920</v>
      </c>
      <c r="O55" s="63"/>
    </row>
    <row r="56" spans="1:15" ht="12.75" customHeight="1" x14ac:dyDescent="0.2">
      <c r="A56" s="99" t="s">
        <v>400</v>
      </c>
      <c r="B56" s="99">
        <v>900</v>
      </c>
      <c r="C56" s="99">
        <v>0</v>
      </c>
      <c r="D56" s="99">
        <v>0</v>
      </c>
      <c r="E56" s="99">
        <v>0</v>
      </c>
      <c r="F56" s="99">
        <v>0</v>
      </c>
      <c r="G56" s="99">
        <v>0</v>
      </c>
      <c r="H56" s="99">
        <v>0</v>
      </c>
      <c r="I56" s="99">
        <v>0</v>
      </c>
      <c r="J56" s="99">
        <v>0</v>
      </c>
      <c r="K56" s="99">
        <v>0</v>
      </c>
      <c r="L56" s="99">
        <v>0</v>
      </c>
      <c r="M56" s="99">
        <v>0</v>
      </c>
      <c r="N56" s="99">
        <f t="shared" si="4"/>
        <v>900</v>
      </c>
      <c r="O56" s="63"/>
    </row>
    <row r="57" spans="1:15" ht="12.75" customHeight="1" x14ac:dyDescent="0.2">
      <c r="A57" s="99" t="s">
        <v>401</v>
      </c>
      <c r="B57" s="99">
        <v>1174</v>
      </c>
      <c r="C57" s="99">
        <v>292</v>
      </c>
      <c r="D57" s="99">
        <v>292</v>
      </c>
      <c r="E57" s="99">
        <v>292</v>
      </c>
      <c r="F57" s="99">
        <v>292</v>
      </c>
      <c r="G57" s="99">
        <v>292</v>
      </c>
      <c r="H57" s="99">
        <v>292</v>
      </c>
      <c r="I57" s="99">
        <v>292</v>
      </c>
      <c r="J57" s="99">
        <v>291</v>
      </c>
      <c r="K57" s="99">
        <v>291</v>
      </c>
      <c r="L57" s="99">
        <v>291</v>
      </c>
      <c r="M57" s="99">
        <v>291</v>
      </c>
      <c r="N57" s="99">
        <f t="shared" si="4"/>
        <v>4382</v>
      </c>
      <c r="O57" s="63"/>
    </row>
    <row r="58" spans="1:15" ht="12.75" customHeight="1" x14ac:dyDescent="0.2">
      <c r="A58" s="99" t="s">
        <v>402</v>
      </c>
      <c r="B58" s="99">
        <v>900</v>
      </c>
      <c r="C58" s="99">
        <v>0</v>
      </c>
      <c r="D58" s="99">
        <v>0</v>
      </c>
      <c r="E58" s="99">
        <v>0</v>
      </c>
      <c r="F58" s="99">
        <v>0</v>
      </c>
      <c r="G58" s="99">
        <v>0</v>
      </c>
      <c r="H58" s="99">
        <v>0</v>
      </c>
      <c r="I58" s="99">
        <v>0</v>
      </c>
      <c r="J58" s="99">
        <v>0</v>
      </c>
      <c r="K58" s="99">
        <v>0</v>
      </c>
      <c r="L58" s="99">
        <v>0</v>
      </c>
      <c r="M58" s="99">
        <v>0</v>
      </c>
      <c r="N58" s="99">
        <f t="shared" si="4"/>
        <v>900</v>
      </c>
      <c r="O58" s="63"/>
    </row>
    <row r="59" spans="1:15" ht="12.75" customHeight="1" x14ac:dyDescent="0.2">
      <c r="A59" s="99" t="s">
        <v>403</v>
      </c>
      <c r="B59" s="99">
        <v>0</v>
      </c>
      <c r="C59" s="99">
        <v>0</v>
      </c>
      <c r="D59" s="99">
        <v>0</v>
      </c>
      <c r="E59" s="99">
        <v>0</v>
      </c>
      <c r="F59" s="99">
        <v>0</v>
      </c>
      <c r="G59" s="99">
        <v>0</v>
      </c>
      <c r="H59" s="99">
        <v>0</v>
      </c>
      <c r="I59" s="99">
        <v>0</v>
      </c>
      <c r="J59" s="99">
        <v>0</v>
      </c>
      <c r="K59" s="99">
        <v>0</v>
      </c>
      <c r="L59" s="99">
        <v>0</v>
      </c>
      <c r="M59" s="99">
        <v>0</v>
      </c>
      <c r="N59" s="99">
        <f t="shared" si="4"/>
        <v>0</v>
      </c>
      <c r="O59" s="63"/>
    </row>
    <row r="60" spans="1:15" ht="12.75" customHeight="1" x14ac:dyDescent="0.2">
      <c r="A60" s="99" t="s">
        <v>404</v>
      </c>
      <c r="B60" s="99">
        <v>60</v>
      </c>
      <c r="C60" s="99">
        <v>60</v>
      </c>
      <c r="D60" s="99">
        <v>60</v>
      </c>
      <c r="E60" s="99">
        <v>60</v>
      </c>
      <c r="F60" s="99">
        <v>60</v>
      </c>
      <c r="G60" s="99">
        <v>60</v>
      </c>
      <c r="H60" s="99">
        <v>60</v>
      </c>
      <c r="I60" s="99">
        <v>10</v>
      </c>
      <c r="J60" s="99">
        <v>10</v>
      </c>
      <c r="K60" s="99">
        <v>10</v>
      </c>
      <c r="L60" s="99">
        <v>10</v>
      </c>
      <c r="M60" s="99">
        <v>10</v>
      </c>
      <c r="N60" s="99">
        <f t="shared" si="4"/>
        <v>470</v>
      </c>
      <c r="O60" s="63"/>
    </row>
    <row r="61" spans="1:15" ht="12.75" customHeight="1" x14ac:dyDescent="0.2">
      <c r="A61" s="99" t="s">
        <v>405</v>
      </c>
      <c r="B61" s="99">
        <v>332</v>
      </c>
      <c r="C61" s="99">
        <v>132</v>
      </c>
      <c r="D61" s="99">
        <v>132</v>
      </c>
      <c r="E61" s="99">
        <v>132</v>
      </c>
      <c r="F61" s="99">
        <v>132</v>
      </c>
      <c r="G61" s="99">
        <v>132</v>
      </c>
      <c r="H61" s="99">
        <v>331</v>
      </c>
      <c r="I61" s="99">
        <v>132</v>
      </c>
      <c r="J61" s="99">
        <v>131</v>
      </c>
      <c r="K61" s="99">
        <v>131</v>
      </c>
      <c r="L61" s="99">
        <v>131</v>
      </c>
      <c r="M61" s="99">
        <v>131</v>
      </c>
      <c r="N61" s="99">
        <f t="shared" si="4"/>
        <v>1979</v>
      </c>
      <c r="O61" s="63"/>
    </row>
    <row r="62" spans="1:15" ht="12.75" customHeight="1" x14ac:dyDescent="0.2">
      <c r="A62" s="99" t="s">
        <v>406</v>
      </c>
      <c r="B62" s="99">
        <v>642</v>
      </c>
      <c r="C62" s="99">
        <v>1224</v>
      </c>
      <c r="D62" s="99">
        <v>1224</v>
      </c>
      <c r="E62" s="99">
        <v>1224</v>
      </c>
      <c r="F62" s="99">
        <v>1224</v>
      </c>
      <c r="G62" s="99">
        <v>1224</v>
      </c>
      <c r="H62" s="99">
        <v>1224</v>
      </c>
      <c r="I62" s="99">
        <v>642</v>
      </c>
      <c r="J62" s="99">
        <v>60</v>
      </c>
      <c r="K62" s="99">
        <v>60</v>
      </c>
      <c r="L62" s="99">
        <v>61</v>
      </c>
      <c r="M62" s="99">
        <v>61</v>
      </c>
      <c r="N62" s="99">
        <f t="shared" si="4"/>
        <v>8870</v>
      </c>
      <c r="O62" s="63"/>
    </row>
    <row r="63" spans="1:15" ht="12.75" customHeight="1" x14ac:dyDescent="0.2">
      <c r="A63" s="99" t="s">
        <v>407</v>
      </c>
      <c r="B63" s="99">
        <v>50</v>
      </c>
      <c r="C63" s="99">
        <v>0</v>
      </c>
      <c r="D63" s="99">
        <v>0</v>
      </c>
      <c r="E63" s="99">
        <v>0</v>
      </c>
      <c r="F63" s="99">
        <v>0</v>
      </c>
      <c r="G63" s="99">
        <v>0</v>
      </c>
      <c r="H63" s="99">
        <v>0</v>
      </c>
      <c r="I63" s="99">
        <v>0</v>
      </c>
      <c r="J63" s="99">
        <v>0</v>
      </c>
      <c r="K63" s="99">
        <v>0</v>
      </c>
      <c r="L63" s="99">
        <v>0</v>
      </c>
      <c r="M63" s="99">
        <v>0</v>
      </c>
      <c r="N63" s="99">
        <f t="shared" si="4"/>
        <v>50</v>
      </c>
      <c r="O63" s="63"/>
    </row>
    <row r="64" spans="1:15" ht="12.75" customHeight="1" x14ac:dyDescent="0.2">
      <c r="A64" s="99" t="s">
        <v>408</v>
      </c>
      <c r="B64" s="99">
        <v>262</v>
      </c>
      <c r="C64" s="99">
        <v>262</v>
      </c>
      <c r="D64" s="99">
        <v>262</v>
      </c>
      <c r="E64" s="99">
        <v>262</v>
      </c>
      <c r="F64" s="99">
        <v>262</v>
      </c>
      <c r="G64" s="99">
        <v>262</v>
      </c>
      <c r="H64" s="99">
        <v>263</v>
      </c>
      <c r="I64" s="99">
        <v>263</v>
      </c>
      <c r="J64" s="99">
        <v>263</v>
      </c>
      <c r="K64" s="99">
        <v>263</v>
      </c>
      <c r="L64" s="99">
        <v>263</v>
      </c>
      <c r="M64" s="99">
        <v>263</v>
      </c>
      <c r="N64" s="99">
        <f t="shared" si="4"/>
        <v>3150</v>
      </c>
      <c r="O64" s="63"/>
    </row>
    <row r="65" spans="1:15" ht="12.75" customHeight="1" x14ac:dyDescent="0.2">
      <c r="A65" s="99" t="s">
        <v>409</v>
      </c>
      <c r="B65" s="99">
        <v>231</v>
      </c>
      <c r="C65" s="99">
        <v>0</v>
      </c>
      <c r="D65" s="99">
        <v>0</v>
      </c>
      <c r="E65" s="99">
        <v>0</v>
      </c>
      <c r="F65" s="99">
        <v>0</v>
      </c>
      <c r="G65" s="99">
        <v>0</v>
      </c>
      <c r="H65" s="99">
        <v>0</v>
      </c>
      <c r="I65" s="99">
        <v>0</v>
      </c>
      <c r="J65" s="99">
        <v>0</v>
      </c>
      <c r="K65" s="99">
        <v>0</v>
      </c>
      <c r="L65" s="99">
        <v>0</v>
      </c>
      <c r="M65" s="99">
        <v>0</v>
      </c>
      <c r="N65" s="99">
        <f t="shared" si="4"/>
        <v>231</v>
      </c>
      <c r="O65" s="63"/>
    </row>
    <row r="66" spans="1:15" ht="12.75" customHeight="1" x14ac:dyDescent="0.2">
      <c r="A66" s="99" t="s">
        <v>410</v>
      </c>
      <c r="B66" s="99">
        <v>241</v>
      </c>
      <c r="C66" s="99">
        <v>240</v>
      </c>
      <c r="D66" s="99">
        <v>50</v>
      </c>
      <c r="E66" s="99">
        <v>50</v>
      </c>
      <c r="F66" s="99">
        <v>50</v>
      </c>
      <c r="G66" s="99">
        <v>240</v>
      </c>
      <c r="H66" s="99">
        <v>240</v>
      </c>
      <c r="I66" s="99">
        <v>240</v>
      </c>
      <c r="J66" s="99">
        <v>240</v>
      </c>
      <c r="K66" s="99">
        <v>240</v>
      </c>
      <c r="L66" s="99">
        <v>240</v>
      </c>
      <c r="M66" s="99">
        <v>240</v>
      </c>
      <c r="N66" s="99">
        <f t="shared" si="4"/>
        <v>2311</v>
      </c>
      <c r="O66" s="63"/>
    </row>
    <row r="67" spans="1:15" ht="12.75" customHeight="1" x14ac:dyDescent="0.2">
      <c r="A67" s="99" t="s">
        <v>411</v>
      </c>
      <c r="B67" s="99">
        <v>346</v>
      </c>
      <c r="C67" s="99">
        <v>346</v>
      </c>
      <c r="D67" s="99">
        <v>346</v>
      </c>
      <c r="E67" s="99">
        <v>346</v>
      </c>
      <c r="F67" s="99">
        <v>346</v>
      </c>
      <c r="G67" s="99">
        <v>346</v>
      </c>
      <c r="H67" s="99">
        <v>346</v>
      </c>
      <c r="I67" s="99">
        <v>346</v>
      </c>
      <c r="J67" s="99">
        <v>346</v>
      </c>
      <c r="K67" s="99">
        <v>346</v>
      </c>
      <c r="L67" s="99">
        <v>345</v>
      </c>
      <c r="M67" s="99">
        <v>345</v>
      </c>
      <c r="N67" s="99">
        <f t="shared" si="4"/>
        <v>4150</v>
      </c>
      <c r="O67" s="63"/>
    </row>
    <row r="68" spans="1:15" ht="12.75" customHeight="1" x14ac:dyDescent="0.2">
      <c r="A68" s="99" t="s">
        <v>412</v>
      </c>
      <c r="B68" s="99">
        <v>100</v>
      </c>
      <c r="C68" s="99">
        <v>100</v>
      </c>
      <c r="D68" s="99">
        <v>100</v>
      </c>
      <c r="E68" s="99">
        <v>100</v>
      </c>
      <c r="F68" s="99">
        <v>100</v>
      </c>
      <c r="G68" s="99">
        <v>100</v>
      </c>
      <c r="H68" s="99">
        <v>100</v>
      </c>
      <c r="I68" s="99">
        <v>100</v>
      </c>
      <c r="J68" s="99">
        <v>100</v>
      </c>
      <c r="K68" s="99">
        <v>100</v>
      </c>
      <c r="L68" s="99">
        <v>100</v>
      </c>
      <c r="M68" s="99">
        <v>100</v>
      </c>
      <c r="N68" s="99">
        <f t="shared" si="4"/>
        <v>1200</v>
      </c>
      <c r="O68" s="63"/>
    </row>
    <row r="69" spans="1:15" ht="12.75" customHeight="1" x14ac:dyDescent="0.2">
      <c r="A69" s="99" t="s">
        <v>413</v>
      </c>
      <c r="B69" s="99">
        <v>1036</v>
      </c>
      <c r="C69" s="99">
        <v>1036</v>
      </c>
      <c r="D69" s="99">
        <v>1156</v>
      </c>
      <c r="E69" s="99">
        <v>1036</v>
      </c>
      <c r="F69" s="99">
        <v>1036</v>
      </c>
      <c r="G69" s="99">
        <v>1036</v>
      </c>
      <c r="H69" s="99">
        <v>3281</v>
      </c>
      <c r="I69" s="99">
        <v>1036</v>
      </c>
      <c r="J69" s="99">
        <v>180</v>
      </c>
      <c r="K69" s="99">
        <v>2055</v>
      </c>
      <c r="L69" s="99">
        <v>181</v>
      </c>
      <c r="M69" s="99">
        <v>181</v>
      </c>
      <c r="N69" s="99">
        <f t="shared" si="4"/>
        <v>13250</v>
      </c>
      <c r="O69" s="63"/>
    </row>
    <row r="70" spans="1:15" ht="12.75" customHeight="1" x14ac:dyDescent="0.2">
      <c r="A70" s="99" t="s">
        <v>414</v>
      </c>
      <c r="B70" s="99">
        <v>0</v>
      </c>
      <c r="C70" s="99">
        <v>0</v>
      </c>
      <c r="D70" s="99">
        <v>0</v>
      </c>
      <c r="E70" s="99">
        <v>0</v>
      </c>
      <c r="F70" s="99">
        <v>0</v>
      </c>
      <c r="G70" s="99">
        <v>2289</v>
      </c>
      <c r="H70" s="99">
        <v>0</v>
      </c>
      <c r="I70" s="99">
        <v>0</v>
      </c>
      <c r="J70" s="99">
        <v>0</v>
      </c>
      <c r="K70" s="99">
        <v>0</v>
      </c>
      <c r="L70" s="99">
        <v>0</v>
      </c>
      <c r="M70" s="99">
        <v>0</v>
      </c>
      <c r="N70" s="99">
        <f t="shared" si="4"/>
        <v>2289</v>
      </c>
      <c r="O70" s="63"/>
    </row>
    <row r="71" spans="1:15" ht="12.75" customHeight="1" x14ac:dyDescent="0.2">
      <c r="A71" s="99" t="s">
        <v>415</v>
      </c>
      <c r="B71" s="99">
        <v>0</v>
      </c>
      <c r="C71" s="99">
        <v>0</v>
      </c>
      <c r="D71" s="99">
        <v>0</v>
      </c>
      <c r="E71" s="99">
        <v>0</v>
      </c>
      <c r="F71" s="99">
        <v>0</v>
      </c>
      <c r="G71" s="99">
        <v>0</v>
      </c>
      <c r="H71" s="99">
        <v>0</v>
      </c>
      <c r="I71" s="99">
        <v>0</v>
      </c>
      <c r="J71" s="99">
        <v>0</v>
      </c>
      <c r="K71" s="99">
        <v>0</v>
      </c>
      <c r="L71" s="99">
        <v>0</v>
      </c>
      <c r="M71" s="99">
        <v>0</v>
      </c>
      <c r="N71" s="99">
        <f t="shared" si="4"/>
        <v>0</v>
      </c>
      <c r="O71" s="63"/>
    </row>
    <row r="72" spans="1:15" ht="12.75" customHeight="1" x14ac:dyDescent="0.2">
      <c r="A72" s="99" t="s">
        <v>416</v>
      </c>
      <c r="B72" s="99">
        <v>2000</v>
      </c>
      <c r="C72" s="99">
        <v>0</v>
      </c>
      <c r="D72" s="99">
        <v>570</v>
      </c>
      <c r="E72" s="99">
        <v>0</v>
      </c>
      <c r="F72" s="99">
        <v>0</v>
      </c>
      <c r="G72" s="99">
        <v>0</v>
      </c>
      <c r="H72" s="99">
        <v>0</v>
      </c>
      <c r="I72" s="99">
        <v>0</v>
      </c>
      <c r="J72" s="99">
        <v>0</v>
      </c>
      <c r="K72" s="99">
        <v>0</v>
      </c>
      <c r="L72" s="99">
        <v>0</v>
      </c>
      <c r="M72" s="99">
        <v>0</v>
      </c>
      <c r="N72" s="99">
        <f t="shared" si="4"/>
        <v>2570</v>
      </c>
      <c r="O72" s="63"/>
    </row>
    <row r="73" spans="1:15" ht="12.75" customHeight="1" x14ac:dyDescent="0.2">
      <c r="A73" s="99" t="s">
        <v>417</v>
      </c>
      <c r="B73" s="99">
        <v>0</v>
      </c>
      <c r="C73" s="99">
        <v>0</v>
      </c>
      <c r="D73" s="99">
        <v>0</v>
      </c>
      <c r="E73" s="99">
        <v>0</v>
      </c>
      <c r="F73" s="99">
        <v>0</v>
      </c>
      <c r="G73" s="99">
        <v>0</v>
      </c>
      <c r="H73" s="99">
        <v>0</v>
      </c>
      <c r="I73" s="99">
        <v>0</v>
      </c>
      <c r="J73" s="99">
        <v>0</v>
      </c>
      <c r="K73" s="99">
        <v>0</v>
      </c>
      <c r="L73" s="99">
        <v>0</v>
      </c>
      <c r="M73" s="99">
        <v>0</v>
      </c>
      <c r="N73" s="99">
        <f t="shared" si="4"/>
        <v>0</v>
      </c>
      <c r="O73" s="63"/>
    </row>
    <row r="74" spans="1:15" ht="12.75" customHeight="1" x14ac:dyDescent="0.2">
      <c r="A74" s="99" t="s">
        <v>418</v>
      </c>
      <c r="B74" s="99">
        <v>577</v>
      </c>
      <c r="C74" s="99">
        <v>577</v>
      </c>
      <c r="D74" s="99">
        <v>577</v>
      </c>
      <c r="E74" s="99">
        <v>577</v>
      </c>
      <c r="F74" s="99">
        <v>577</v>
      </c>
      <c r="G74" s="99">
        <v>577</v>
      </c>
      <c r="H74" s="99">
        <v>577</v>
      </c>
      <c r="I74" s="99">
        <v>577</v>
      </c>
      <c r="J74" s="99">
        <v>576</v>
      </c>
      <c r="K74" s="99">
        <v>576</v>
      </c>
      <c r="L74" s="99">
        <v>576</v>
      </c>
      <c r="M74" s="99">
        <v>576</v>
      </c>
      <c r="N74" s="99">
        <f t="shared" si="4"/>
        <v>6920</v>
      </c>
      <c r="O74" s="63"/>
    </row>
    <row r="75" spans="1:15" ht="12.75" customHeight="1" x14ac:dyDescent="0.2">
      <c r="A75" s="99" t="s">
        <v>419</v>
      </c>
      <c r="B75" s="99">
        <v>0</v>
      </c>
      <c r="C75" s="99">
        <v>0</v>
      </c>
      <c r="D75" s="99">
        <v>0</v>
      </c>
      <c r="E75" s="99">
        <v>0</v>
      </c>
      <c r="F75" s="99">
        <v>0</v>
      </c>
      <c r="G75" s="99">
        <v>0</v>
      </c>
      <c r="H75" s="99">
        <v>0</v>
      </c>
      <c r="I75" s="99">
        <v>0</v>
      </c>
      <c r="J75" s="99">
        <v>0</v>
      </c>
      <c r="K75" s="99">
        <v>0</v>
      </c>
      <c r="L75" s="99">
        <v>0</v>
      </c>
      <c r="M75" s="99">
        <v>0</v>
      </c>
      <c r="N75" s="99">
        <f t="shared" si="4"/>
        <v>0</v>
      </c>
      <c r="O75" s="63"/>
    </row>
    <row r="76" spans="1:15" ht="12.75" customHeight="1" x14ac:dyDescent="0.2">
      <c r="A76" s="99" t="s">
        <v>420</v>
      </c>
      <c r="B76" s="99">
        <v>0</v>
      </c>
      <c r="C76" s="99">
        <v>0</v>
      </c>
      <c r="D76" s="99">
        <v>0</v>
      </c>
      <c r="E76" s="99">
        <v>0</v>
      </c>
      <c r="F76" s="99">
        <v>0</v>
      </c>
      <c r="G76" s="99">
        <v>0</v>
      </c>
      <c r="H76" s="99">
        <v>0</v>
      </c>
      <c r="I76" s="99">
        <v>0</v>
      </c>
      <c r="J76" s="99">
        <v>0</v>
      </c>
      <c r="K76" s="99">
        <v>0</v>
      </c>
      <c r="L76" s="99">
        <v>0</v>
      </c>
      <c r="M76" s="99">
        <v>0</v>
      </c>
      <c r="N76" s="99">
        <f t="shared" si="4"/>
        <v>0</v>
      </c>
      <c r="O76" s="63"/>
    </row>
    <row r="77" spans="1:15" ht="12.75" customHeight="1" x14ac:dyDescent="0.2">
      <c r="A77" s="99" t="s">
        <v>421</v>
      </c>
      <c r="B77" s="99">
        <v>0</v>
      </c>
      <c r="C77" s="99">
        <v>0</v>
      </c>
      <c r="D77" s="99">
        <v>0</v>
      </c>
      <c r="E77" s="99">
        <v>0</v>
      </c>
      <c r="F77" s="99">
        <v>0</v>
      </c>
      <c r="G77" s="99">
        <v>0</v>
      </c>
      <c r="H77" s="99">
        <v>0</v>
      </c>
      <c r="I77" s="99">
        <v>0</v>
      </c>
      <c r="J77" s="99">
        <v>0</v>
      </c>
      <c r="K77" s="99">
        <v>0</v>
      </c>
      <c r="L77" s="99">
        <v>0</v>
      </c>
      <c r="M77" s="99">
        <v>0</v>
      </c>
      <c r="N77" s="99">
        <f t="shared" si="4"/>
        <v>0</v>
      </c>
      <c r="O77" s="63"/>
    </row>
    <row r="78" spans="1:15" ht="12.75" customHeight="1" x14ac:dyDescent="0.2">
      <c r="A78" s="99" t="s">
        <v>422</v>
      </c>
      <c r="B78" s="99">
        <v>0</v>
      </c>
      <c r="C78" s="99">
        <v>0</v>
      </c>
      <c r="D78" s="99">
        <v>0</v>
      </c>
      <c r="E78" s="99">
        <v>0</v>
      </c>
      <c r="F78" s="99">
        <v>0</v>
      </c>
      <c r="G78" s="99">
        <v>0</v>
      </c>
      <c r="H78" s="99">
        <v>0</v>
      </c>
      <c r="I78" s="99">
        <v>0</v>
      </c>
      <c r="J78" s="99">
        <v>0</v>
      </c>
      <c r="K78" s="99">
        <v>0</v>
      </c>
      <c r="L78" s="99">
        <v>0</v>
      </c>
      <c r="M78" s="99">
        <v>0</v>
      </c>
      <c r="N78" s="99">
        <f t="shared" si="4"/>
        <v>0</v>
      </c>
      <c r="O78" s="63"/>
    </row>
    <row r="79" spans="1:15" ht="12.75" customHeight="1" x14ac:dyDescent="0.2">
      <c r="A79" s="99" t="s">
        <v>423</v>
      </c>
      <c r="B79" s="99">
        <v>0</v>
      </c>
      <c r="C79" s="99">
        <v>0</v>
      </c>
      <c r="D79" s="99">
        <v>0</v>
      </c>
      <c r="E79" s="99">
        <v>0</v>
      </c>
      <c r="F79" s="99">
        <v>0</v>
      </c>
      <c r="G79" s="99">
        <v>0</v>
      </c>
      <c r="H79" s="99">
        <v>0</v>
      </c>
      <c r="I79" s="99">
        <v>0</v>
      </c>
      <c r="J79" s="99">
        <v>0</v>
      </c>
      <c r="K79" s="99">
        <v>0</v>
      </c>
      <c r="L79" s="99">
        <v>0</v>
      </c>
      <c r="M79" s="99">
        <v>0</v>
      </c>
      <c r="N79" s="99">
        <f t="shared" si="4"/>
        <v>0</v>
      </c>
      <c r="O79" s="63"/>
    </row>
    <row r="80" spans="1:15" ht="12.75" customHeight="1" x14ac:dyDescent="0.2">
      <c r="A80" s="99" t="s">
        <v>424</v>
      </c>
      <c r="B80" s="99">
        <v>3214</v>
      </c>
      <c r="C80" s="99">
        <v>0</v>
      </c>
      <c r="D80" s="99">
        <v>0</v>
      </c>
      <c r="E80" s="99">
        <v>0</v>
      </c>
      <c r="F80" s="99">
        <v>0</v>
      </c>
      <c r="G80" s="99">
        <v>0</v>
      </c>
      <c r="H80" s="99">
        <v>0</v>
      </c>
      <c r="I80" s="99">
        <v>0</v>
      </c>
      <c r="J80" s="99">
        <v>0</v>
      </c>
      <c r="K80" s="99">
        <v>0</v>
      </c>
      <c r="L80" s="99">
        <v>0</v>
      </c>
      <c r="M80" s="99">
        <v>0</v>
      </c>
      <c r="N80" s="99">
        <f t="shared" si="4"/>
        <v>3214</v>
      </c>
      <c r="O80" s="63"/>
    </row>
    <row r="81" spans="1:15" ht="12.75" customHeight="1" x14ac:dyDescent="0.2">
      <c r="A81" s="99" t="s">
        <v>425</v>
      </c>
      <c r="B81" s="99">
        <v>55</v>
      </c>
      <c r="C81" s="99">
        <v>55</v>
      </c>
      <c r="D81" s="99">
        <v>55</v>
      </c>
      <c r="E81" s="99">
        <v>55</v>
      </c>
      <c r="F81" s="99">
        <v>55</v>
      </c>
      <c r="G81" s="99">
        <v>55</v>
      </c>
      <c r="H81" s="99">
        <v>55</v>
      </c>
      <c r="I81" s="99">
        <v>55</v>
      </c>
      <c r="J81" s="99">
        <v>55</v>
      </c>
      <c r="K81" s="99">
        <v>55</v>
      </c>
      <c r="L81" s="99">
        <v>55</v>
      </c>
      <c r="M81" s="99">
        <v>55</v>
      </c>
      <c r="N81" s="99">
        <f t="shared" si="4"/>
        <v>660</v>
      </c>
      <c r="O81" s="63"/>
    </row>
    <row r="82" spans="1:15" ht="12.75" customHeight="1" x14ac:dyDescent="0.2">
      <c r="A82" s="99" t="s">
        <v>426</v>
      </c>
      <c r="B82" s="99">
        <v>0</v>
      </c>
      <c r="C82" s="99">
        <v>0</v>
      </c>
      <c r="D82" s="99">
        <v>0</v>
      </c>
      <c r="E82" s="99">
        <v>0</v>
      </c>
      <c r="F82" s="99">
        <v>0</v>
      </c>
      <c r="G82" s="99">
        <v>0</v>
      </c>
      <c r="H82" s="99">
        <v>0</v>
      </c>
      <c r="I82" s="99">
        <v>0</v>
      </c>
      <c r="J82" s="99">
        <v>0</v>
      </c>
      <c r="K82" s="99">
        <v>0</v>
      </c>
      <c r="L82" s="99">
        <v>0</v>
      </c>
      <c r="M82" s="99">
        <v>0</v>
      </c>
      <c r="N82" s="99">
        <f t="shared" si="4"/>
        <v>0</v>
      </c>
      <c r="O82" s="63"/>
    </row>
    <row r="83" spans="1:15" ht="12.75" customHeight="1" x14ac:dyDescent="0.2">
      <c r="A83" s="99" t="s">
        <v>427</v>
      </c>
      <c r="B83" s="99">
        <v>0</v>
      </c>
      <c r="C83" s="99">
        <v>0</v>
      </c>
      <c r="D83" s="99">
        <v>0</v>
      </c>
      <c r="E83" s="99">
        <v>0</v>
      </c>
      <c r="F83" s="99">
        <v>0</v>
      </c>
      <c r="G83" s="99">
        <v>0</v>
      </c>
      <c r="H83" s="99">
        <v>0</v>
      </c>
      <c r="I83" s="99">
        <v>0</v>
      </c>
      <c r="J83" s="99">
        <v>0</v>
      </c>
      <c r="K83" s="99">
        <v>0</v>
      </c>
      <c r="L83" s="99">
        <v>0</v>
      </c>
      <c r="M83" s="99">
        <v>0</v>
      </c>
      <c r="N83" s="99">
        <f t="shared" si="4"/>
        <v>0</v>
      </c>
      <c r="O83" s="63"/>
    </row>
    <row r="84" spans="1:15" ht="12.75" customHeight="1" x14ac:dyDescent="0.2">
      <c r="A84" s="99" t="s">
        <v>428</v>
      </c>
      <c r="B84" s="99">
        <v>175</v>
      </c>
      <c r="C84" s="99">
        <v>55</v>
      </c>
      <c r="D84" s="99">
        <v>55</v>
      </c>
      <c r="E84" s="99">
        <v>55</v>
      </c>
      <c r="F84" s="99">
        <v>1155</v>
      </c>
      <c r="G84" s="99">
        <v>55</v>
      </c>
      <c r="H84" s="99">
        <v>105</v>
      </c>
      <c r="I84" s="99">
        <v>54</v>
      </c>
      <c r="J84" s="99">
        <v>54</v>
      </c>
      <c r="K84" s="99">
        <v>54</v>
      </c>
      <c r="L84" s="99">
        <v>54</v>
      </c>
      <c r="M84" s="99">
        <v>54</v>
      </c>
      <c r="N84" s="99">
        <f t="shared" si="4"/>
        <v>1925</v>
      </c>
      <c r="O84" s="63"/>
    </row>
    <row r="85" spans="1:15" ht="12.75" customHeight="1" x14ac:dyDescent="0.2">
      <c r="A85" s="99" t="s">
        <v>429</v>
      </c>
      <c r="B85" s="99">
        <v>200</v>
      </c>
      <c r="C85" s="99">
        <v>0</v>
      </c>
      <c r="D85" s="99">
        <v>0</v>
      </c>
      <c r="E85" s="99">
        <v>0</v>
      </c>
      <c r="F85" s="99">
        <v>0</v>
      </c>
      <c r="G85" s="99">
        <v>0</v>
      </c>
      <c r="H85" s="99">
        <v>0</v>
      </c>
      <c r="I85" s="99">
        <v>0</v>
      </c>
      <c r="J85" s="99">
        <v>0</v>
      </c>
      <c r="K85" s="99">
        <v>0</v>
      </c>
      <c r="L85" s="99">
        <v>0</v>
      </c>
      <c r="M85" s="99">
        <v>0</v>
      </c>
      <c r="N85" s="99">
        <f t="shared" si="4"/>
        <v>200</v>
      </c>
      <c r="O85" s="63"/>
    </row>
    <row r="86" spans="1:15" ht="12.75" customHeight="1" x14ac:dyDescent="0.2">
      <c r="A86" s="99" t="s">
        <v>430</v>
      </c>
      <c r="B86" s="99">
        <v>0</v>
      </c>
      <c r="C86" s="99">
        <v>0</v>
      </c>
      <c r="D86" s="99">
        <v>0</v>
      </c>
      <c r="E86" s="99">
        <v>0</v>
      </c>
      <c r="F86" s="99">
        <v>0</v>
      </c>
      <c r="G86" s="99">
        <v>0</v>
      </c>
      <c r="H86" s="99">
        <v>0</v>
      </c>
      <c r="I86" s="99">
        <v>0</v>
      </c>
      <c r="J86" s="99">
        <v>0</v>
      </c>
      <c r="K86" s="99">
        <v>0</v>
      </c>
      <c r="L86" s="99">
        <v>0</v>
      </c>
      <c r="M86" s="99">
        <v>0</v>
      </c>
      <c r="N86" s="99">
        <f t="shared" si="4"/>
        <v>0</v>
      </c>
      <c r="O86" s="63"/>
    </row>
    <row r="87" spans="1:15" ht="12.75" customHeight="1" x14ac:dyDescent="0.2">
      <c r="A87" s="99" t="s">
        <v>431</v>
      </c>
      <c r="B87" s="99">
        <v>15</v>
      </c>
      <c r="C87" s="99">
        <v>15</v>
      </c>
      <c r="D87" s="99">
        <v>415</v>
      </c>
      <c r="E87" s="99">
        <v>15</v>
      </c>
      <c r="F87" s="99">
        <v>620</v>
      </c>
      <c r="G87" s="99">
        <v>15</v>
      </c>
      <c r="H87" s="99">
        <v>15</v>
      </c>
      <c r="I87" s="99">
        <v>250</v>
      </c>
      <c r="J87" s="99">
        <v>15</v>
      </c>
      <c r="K87" s="99">
        <v>65</v>
      </c>
      <c r="L87" s="99">
        <v>15</v>
      </c>
      <c r="M87" s="99">
        <v>15</v>
      </c>
      <c r="N87" s="99">
        <f t="shared" si="4"/>
        <v>1470</v>
      </c>
      <c r="O87" s="63"/>
    </row>
    <row r="88" spans="1:15" ht="12.75" customHeight="1" x14ac:dyDescent="0.2">
      <c r="A88" s="99" t="s">
        <v>432</v>
      </c>
      <c r="B88" s="99">
        <v>8</v>
      </c>
      <c r="C88" s="99">
        <v>8</v>
      </c>
      <c r="D88" s="99">
        <v>8</v>
      </c>
      <c r="E88" s="99">
        <v>8</v>
      </c>
      <c r="F88" s="99">
        <v>8</v>
      </c>
      <c r="G88" s="99">
        <v>8</v>
      </c>
      <c r="H88" s="99">
        <v>8</v>
      </c>
      <c r="I88" s="99">
        <v>8</v>
      </c>
      <c r="J88" s="99">
        <v>9</v>
      </c>
      <c r="K88" s="99">
        <v>9</v>
      </c>
      <c r="L88" s="99">
        <v>9</v>
      </c>
      <c r="M88" s="99">
        <v>9</v>
      </c>
      <c r="N88" s="99">
        <f t="shared" si="4"/>
        <v>100</v>
      </c>
      <c r="O88" s="63"/>
    </row>
    <row r="89" spans="1:15" ht="12.75" customHeight="1" x14ac:dyDescent="0.2">
      <c r="A89" s="99" t="s">
        <v>433</v>
      </c>
      <c r="B89" s="99">
        <v>4918</v>
      </c>
      <c r="C89" s="99">
        <v>4918</v>
      </c>
      <c r="D89" s="99">
        <v>4918</v>
      </c>
      <c r="E89" s="99">
        <v>4918</v>
      </c>
      <c r="F89" s="99">
        <v>4918</v>
      </c>
      <c r="G89" s="99">
        <v>4918</v>
      </c>
      <c r="H89" s="99">
        <v>4919</v>
      </c>
      <c r="I89" s="99">
        <v>4919</v>
      </c>
      <c r="J89" s="99">
        <v>4919</v>
      </c>
      <c r="K89" s="99">
        <v>4919</v>
      </c>
      <c r="L89" s="99">
        <v>4919</v>
      </c>
      <c r="M89" s="99">
        <v>4919</v>
      </c>
      <c r="N89" s="99">
        <f t="shared" si="4"/>
        <v>59022</v>
      </c>
      <c r="O89" s="63"/>
    </row>
    <row r="90" spans="1:15" ht="12.75" customHeight="1" x14ac:dyDescent="0.2">
      <c r="A90" s="99" t="s">
        <v>434</v>
      </c>
      <c r="B90" s="99">
        <v>67</v>
      </c>
      <c r="C90" s="99">
        <v>67</v>
      </c>
      <c r="D90" s="99">
        <v>67</v>
      </c>
      <c r="E90" s="99">
        <v>67</v>
      </c>
      <c r="F90" s="99">
        <v>67</v>
      </c>
      <c r="G90" s="99">
        <v>67</v>
      </c>
      <c r="H90" s="99">
        <v>67</v>
      </c>
      <c r="I90" s="99">
        <v>67</v>
      </c>
      <c r="J90" s="99">
        <v>66</v>
      </c>
      <c r="K90" s="99">
        <v>66</v>
      </c>
      <c r="L90" s="99">
        <v>66</v>
      </c>
      <c r="M90" s="99">
        <v>66</v>
      </c>
      <c r="N90" s="99">
        <f t="shared" si="4"/>
        <v>800</v>
      </c>
      <c r="O90" s="63"/>
    </row>
    <row r="91" spans="1:15" ht="12.75" customHeight="1" x14ac:dyDescent="0.2">
      <c r="A91" s="99" t="s">
        <v>435</v>
      </c>
      <c r="B91" s="99">
        <v>31</v>
      </c>
      <c r="C91" s="99">
        <v>31</v>
      </c>
      <c r="D91" s="99">
        <v>31</v>
      </c>
      <c r="E91" s="99">
        <v>31</v>
      </c>
      <c r="F91" s="99">
        <v>31</v>
      </c>
      <c r="G91" s="99">
        <v>31</v>
      </c>
      <c r="H91" s="99">
        <v>31</v>
      </c>
      <c r="I91" s="99">
        <v>31</v>
      </c>
      <c r="J91" s="99">
        <v>31</v>
      </c>
      <c r="K91" s="99">
        <v>31</v>
      </c>
      <c r="L91" s="99">
        <v>31</v>
      </c>
      <c r="M91" s="99">
        <v>31</v>
      </c>
      <c r="N91" s="99">
        <f t="shared" si="4"/>
        <v>372</v>
      </c>
      <c r="O91" s="63"/>
    </row>
    <row r="92" spans="1:15" ht="12.75" customHeight="1" x14ac:dyDescent="0.2">
      <c r="A92" s="99" t="s">
        <v>436</v>
      </c>
      <c r="B92" s="99">
        <v>213</v>
      </c>
      <c r="C92" s="99">
        <v>213</v>
      </c>
      <c r="D92" s="99">
        <v>213</v>
      </c>
      <c r="E92" s="99">
        <v>213</v>
      </c>
      <c r="F92" s="99">
        <v>213</v>
      </c>
      <c r="G92" s="99">
        <v>213</v>
      </c>
      <c r="H92" s="99">
        <v>213</v>
      </c>
      <c r="I92" s="99">
        <v>213</v>
      </c>
      <c r="J92" s="99">
        <v>213</v>
      </c>
      <c r="K92" s="99">
        <v>213</v>
      </c>
      <c r="L92" s="99">
        <v>213</v>
      </c>
      <c r="M92" s="99">
        <v>213</v>
      </c>
      <c r="N92" s="99">
        <f t="shared" si="4"/>
        <v>2556</v>
      </c>
      <c r="O92" s="63"/>
    </row>
    <row r="93" spans="1:15" ht="12.75" customHeight="1" x14ac:dyDescent="0.2">
      <c r="A93" s="99" t="s">
        <v>437</v>
      </c>
      <c r="B93" s="99">
        <v>0</v>
      </c>
      <c r="C93" s="99">
        <v>0</v>
      </c>
      <c r="D93" s="99">
        <v>0</v>
      </c>
      <c r="E93" s="99">
        <v>0</v>
      </c>
      <c r="F93" s="99">
        <v>0</v>
      </c>
      <c r="G93" s="99">
        <v>0</v>
      </c>
      <c r="H93" s="99">
        <v>0</v>
      </c>
      <c r="I93" s="99">
        <v>0</v>
      </c>
      <c r="J93" s="99">
        <v>0</v>
      </c>
      <c r="K93" s="99">
        <v>0</v>
      </c>
      <c r="L93" s="99">
        <v>0</v>
      </c>
      <c r="M93" s="99">
        <v>0</v>
      </c>
      <c r="N93" s="99">
        <f t="shared" si="4"/>
        <v>0</v>
      </c>
      <c r="O93" s="63"/>
    </row>
    <row r="94" spans="1:15" ht="12.75" customHeight="1" x14ac:dyDescent="0.2">
      <c r="A94" s="99" t="s">
        <v>438</v>
      </c>
      <c r="B94" s="99">
        <v>0</v>
      </c>
      <c r="C94" s="99">
        <v>0</v>
      </c>
      <c r="D94" s="99">
        <v>0</v>
      </c>
      <c r="E94" s="99">
        <v>0</v>
      </c>
      <c r="F94" s="99">
        <v>0</v>
      </c>
      <c r="G94" s="99">
        <v>796</v>
      </c>
      <c r="H94" s="99">
        <v>0</v>
      </c>
      <c r="I94" s="99">
        <v>0</v>
      </c>
      <c r="J94" s="99">
        <v>0</v>
      </c>
      <c r="K94" s="99">
        <v>0</v>
      </c>
      <c r="L94" s="99">
        <v>0</v>
      </c>
      <c r="M94" s="99">
        <v>0</v>
      </c>
      <c r="N94" s="99">
        <f t="shared" si="4"/>
        <v>796</v>
      </c>
      <c r="O94" s="63"/>
    </row>
    <row r="95" spans="1:15" ht="12.75" customHeight="1" x14ac:dyDescent="0.2">
      <c r="A95" s="99" t="s">
        <v>439</v>
      </c>
      <c r="B95" s="99">
        <v>0</v>
      </c>
      <c r="C95" s="99">
        <v>0</v>
      </c>
      <c r="D95" s="99">
        <v>0</v>
      </c>
      <c r="E95" s="99">
        <v>0</v>
      </c>
      <c r="F95" s="99">
        <v>0</v>
      </c>
      <c r="G95" s="99">
        <v>0</v>
      </c>
      <c r="H95" s="99">
        <v>0</v>
      </c>
      <c r="I95" s="99">
        <v>0</v>
      </c>
      <c r="J95" s="99">
        <v>0</v>
      </c>
      <c r="K95" s="99">
        <v>0</v>
      </c>
      <c r="L95" s="99">
        <v>0</v>
      </c>
      <c r="M95" s="99">
        <v>0</v>
      </c>
      <c r="N95" s="99">
        <f t="shared" si="4"/>
        <v>0</v>
      </c>
      <c r="O95" s="63"/>
    </row>
    <row r="96" spans="1:15" ht="12.75" customHeight="1" x14ac:dyDescent="0.2">
      <c r="A96" s="99" t="s">
        <v>440</v>
      </c>
      <c r="B96" s="99">
        <v>0</v>
      </c>
      <c r="C96" s="99">
        <v>0</v>
      </c>
      <c r="D96" s="99">
        <v>0</v>
      </c>
      <c r="E96" s="99">
        <v>0</v>
      </c>
      <c r="F96" s="99">
        <v>0</v>
      </c>
      <c r="G96" s="99">
        <v>0</v>
      </c>
      <c r="H96" s="99">
        <v>0</v>
      </c>
      <c r="I96" s="99">
        <v>0</v>
      </c>
      <c r="J96" s="99">
        <v>0</v>
      </c>
      <c r="K96" s="99">
        <v>0</v>
      </c>
      <c r="L96" s="99">
        <v>0</v>
      </c>
      <c r="M96" s="99">
        <v>0</v>
      </c>
      <c r="N96" s="99">
        <f t="shared" si="4"/>
        <v>0</v>
      </c>
      <c r="O96" s="63"/>
    </row>
    <row r="97" spans="1:15" ht="12.75" customHeight="1" x14ac:dyDescent="0.2">
      <c r="A97" s="99" t="s">
        <v>441</v>
      </c>
      <c r="B97" s="99">
        <v>1350</v>
      </c>
      <c r="C97" s="99">
        <v>0</v>
      </c>
      <c r="D97" s="99">
        <v>0</v>
      </c>
      <c r="E97" s="99">
        <v>0</v>
      </c>
      <c r="F97" s="99">
        <v>58</v>
      </c>
      <c r="G97" s="99">
        <v>0</v>
      </c>
      <c r="H97" s="99">
        <v>72</v>
      </c>
      <c r="I97" s="99">
        <v>0</v>
      </c>
      <c r="J97" s="99">
        <v>67</v>
      </c>
      <c r="K97" s="99">
        <v>0</v>
      </c>
      <c r="L97" s="99">
        <v>0</v>
      </c>
      <c r="M97" s="99">
        <v>440</v>
      </c>
      <c r="N97" s="99">
        <f t="shared" si="4"/>
        <v>1987</v>
      </c>
      <c r="O97" s="63"/>
    </row>
    <row r="98" spans="1:15" ht="12.75" customHeight="1" x14ac:dyDescent="0.2">
      <c r="A98" s="99" t="s">
        <v>442</v>
      </c>
      <c r="B98" s="99">
        <v>0</v>
      </c>
      <c r="C98" s="99">
        <v>0</v>
      </c>
      <c r="D98" s="99">
        <v>0</v>
      </c>
      <c r="E98" s="99">
        <v>0</v>
      </c>
      <c r="F98" s="99">
        <v>0</v>
      </c>
      <c r="G98" s="99">
        <v>0</v>
      </c>
      <c r="H98" s="99">
        <v>0</v>
      </c>
      <c r="I98" s="99">
        <v>0</v>
      </c>
      <c r="J98" s="99">
        <v>0</v>
      </c>
      <c r="K98" s="99">
        <v>0</v>
      </c>
      <c r="L98" s="99">
        <v>0</v>
      </c>
      <c r="M98" s="99">
        <v>0</v>
      </c>
      <c r="N98" s="99">
        <f t="shared" si="4"/>
        <v>0</v>
      </c>
      <c r="O98" s="63"/>
    </row>
    <row r="99" spans="1:15" ht="12.75" customHeight="1" x14ac:dyDescent="0.2">
      <c r="A99" s="99" t="s">
        <v>443</v>
      </c>
      <c r="B99" s="99">
        <v>157</v>
      </c>
      <c r="C99" s="99">
        <v>157</v>
      </c>
      <c r="D99" s="99">
        <v>157</v>
      </c>
      <c r="E99" s="99">
        <v>157</v>
      </c>
      <c r="F99" s="99">
        <v>157</v>
      </c>
      <c r="G99" s="99">
        <v>157</v>
      </c>
      <c r="H99" s="99">
        <v>157</v>
      </c>
      <c r="I99" s="99">
        <v>158</v>
      </c>
      <c r="J99" s="99">
        <v>158</v>
      </c>
      <c r="K99" s="99">
        <v>158</v>
      </c>
      <c r="L99" s="99">
        <v>158</v>
      </c>
      <c r="M99" s="99">
        <v>158</v>
      </c>
      <c r="N99" s="99">
        <f t="shared" si="4"/>
        <v>1889</v>
      </c>
      <c r="O99" s="63"/>
    </row>
    <row r="100" spans="1:15" ht="12.75" customHeight="1" x14ac:dyDescent="0.2">
      <c r="A100" s="99" t="s">
        <v>444</v>
      </c>
      <c r="B100" s="99">
        <v>0</v>
      </c>
      <c r="C100" s="99">
        <v>0</v>
      </c>
      <c r="D100" s="99">
        <v>0</v>
      </c>
      <c r="E100" s="99">
        <v>0</v>
      </c>
      <c r="F100" s="99">
        <v>0</v>
      </c>
      <c r="G100" s="99">
        <v>0</v>
      </c>
      <c r="H100" s="99">
        <v>0</v>
      </c>
      <c r="I100" s="99">
        <v>0</v>
      </c>
      <c r="J100" s="99">
        <v>0</v>
      </c>
      <c r="K100" s="99">
        <v>0</v>
      </c>
      <c r="L100" s="99">
        <v>0</v>
      </c>
      <c r="M100" s="99">
        <v>0</v>
      </c>
      <c r="N100" s="99">
        <f t="shared" si="4"/>
        <v>0</v>
      </c>
      <c r="O100" s="63"/>
    </row>
    <row r="101" spans="1:15" ht="12.75" customHeight="1" x14ac:dyDescent="0.2">
      <c r="A101" s="99" t="s">
        <v>445</v>
      </c>
      <c r="B101" s="99">
        <v>0</v>
      </c>
      <c r="C101" s="99">
        <v>0</v>
      </c>
      <c r="D101" s="99">
        <v>0</v>
      </c>
      <c r="E101" s="99">
        <v>0</v>
      </c>
      <c r="F101" s="99">
        <v>0</v>
      </c>
      <c r="G101" s="99">
        <v>0</v>
      </c>
      <c r="H101" s="99">
        <v>0</v>
      </c>
      <c r="I101" s="99">
        <v>0</v>
      </c>
      <c r="J101" s="99">
        <v>0</v>
      </c>
      <c r="K101" s="99">
        <v>0</v>
      </c>
      <c r="L101" s="99">
        <v>0</v>
      </c>
      <c r="M101" s="99">
        <v>0</v>
      </c>
      <c r="N101" s="99">
        <f t="shared" si="4"/>
        <v>0</v>
      </c>
      <c r="O101" s="63"/>
    </row>
    <row r="102" spans="1:15" ht="12.75" customHeight="1" x14ac:dyDescent="0.2">
      <c r="A102" s="99" t="s">
        <v>446</v>
      </c>
      <c r="B102" s="99">
        <v>0</v>
      </c>
      <c r="C102" s="99">
        <v>0</v>
      </c>
      <c r="D102" s="99">
        <v>0</v>
      </c>
      <c r="E102" s="99">
        <v>0</v>
      </c>
      <c r="F102" s="99">
        <v>0</v>
      </c>
      <c r="G102" s="99">
        <v>0</v>
      </c>
      <c r="H102" s="99">
        <v>0</v>
      </c>
      <c r="I102" s="99">
        <v>0</v>
      </c>
      <c r="J102" s="99">
        <v>0</v>
      </c>
      <c r="K102" s="99">
        <v>0</v>
      </c>
      <c r="L102" s="99">
        <v>0</v>
      </c>
      <c r="M102" s="99">
        <v>0</v>
      </c>
      <c r="N102" s="99">
        <f t="shared" si="4"/>
        <v>0</v>
      </c>
      <c r="O102" s="63"/>
    </row>
    <row r="103" spans="1:15" ht="12.75" customHeight="1" x14ac:dyDescent="0.2">
      <c r="A103" s="99" t="s">
        <v>447</v>
      </c>
      <c r="B103" s="99">
        <v>0</v>
      </c>
      <c r="C103" s="99">
        <v>0</v>
      </c>
      <c r="D103" s="99">
        <v>0</v>
      </c>
      <c r="E103" s="99">
        <v>0</v>
      </c>
      <c r="F103" s="99">
        <v>0</v>
      </c>
      <c r="G103" s="99">
        <v>0</v>
      </c>
      <c r="H103" s="99">
        <v>0</v>
      </c>
      <c r="I103" s="99">
        <v>0</v>
      </c>
      <c r="J103" s="99">
        <v>0</v>
      </c>
      <c r="K103" s="99">
        <v>0</v>
      </c>
      <c r="L103" s="99">
        <v>0</v>
      </c>
      <c r="M103" s="99">
        <v>0</v>
      </c>
      <c r="N103" s="99">
        <f t="shared" si="4"/>
        <v>0</v>
      </c>
      <c r="O103" s="63"/>
    </row>
    <row r="104" spans="1:15" ht="12.75" customHeight="1" x14ac:dyDescent="0.2">
      <c r="A104" s="99" t="s">
        <v>448</v>
      </c>
      <c r="B104" s="99">
        <v>0</v>
      </c>
      <c r="C104" s="99">
        <v>0</v>
      </c>
      <c r="D104" s="99">
        <v>0</v>
      </c>
      <c r="E104" s="99">
        <v>0</v>
      </c>
      <c r="F104" s="99">
        <v>0</v>
      </c>
      <c r="G104" s="99">
        <v>0</v>
      </c>
      <c r="H104" s="99">
        <v>0</v>
      </c>
      <c r="I104" s="99">
        <v>0</v>
      </c>
      <c r="J104" s="99">
        <v>0</v>
      </c>
      <c r="K104" s="99">
        <v>0</v>
      </c>
      <c r="L104" s="99">
        <v>0</v>
      </c>
      <c r="M104" s="99">
        <v>0</v>
      </c>
      <c r="N104" s="99">
        <f t="shared" si="4"/>
        <v>0</v>
      </c>
      <c r="O104" s="63"/>
    </row>
    <row r="105" spans="1:15" ht="12.75" customHeight="1" x14ac:dyDescent="0.2">
      <c r="A105" s="99" t="s">
        <v>449</v>
      </c>
      <c r="B105" s="99">
        <v>0</v>
      </c>
      <c r="C105" s="99">
        <v>0</v>
      </c>
      <c r="D105" s="99">
        <v>0</v>
      </c>
      <c r="E105" s="99">
        <v>0</v>
      </c>
      <c r="F105" s="99">
        <v>0</v>
      </c>
      <c r="G105" s="99">
        <v>0</v>
      </c>
      <c r="H105" s="99">
        <v>0</v>
      </c>
      <c r="I105" s="99">
        <v>0</v>
      </c>
      <c r="J105" s="99">
        <v>0</v>
      </c>
      <c r="K105" s="99">
        <v>0</v>
      </c>
      <c r="L105" s="99">
        <v>0</v>
      </c>
      <c r="M105" s="99">
        <v>0</v>
      </c>
      <c r="N105" s="99">
        <f t="shared" si="4"/>
        <v>0</v>
      </c>
      <c r="O105" s="63"/>
    </row>
    <row r="106" spans="1:15" ht="12.75" customHeight="1" x14ac:dyDescent="0.2">
      <c r="A106" s="99" t="s">
        <v>450</v>
      </c>
      <c r="B106" s="99">
        <v>0</v>
      </c>
      <c r="C106" s="99">
        <v>0</v>
      </c>
      <c r="D106" s="99">
        <v>0</v>
      </c>
      <c r="E106" s="99">
        <v>0</v>
      </c>
      <c r="F106" s="99">
        <v>0</v>
      </c>
      <c r="G106" s="99">
        <v>0</v>
      </c>
      <c r="H106" s="99">
        <v>0</v>
      </c>
      <c r="I106" s="99">
        <v>0</v>
      </c>
      <c r="J106" s="99">
        <v>0</v>
      </c>
      <c r="K106" s="99">
        <v>0</v>
      </c>
      <c r="L106" s="99">
        <v>0</v>
      </c>
      <c r="M106" s="99">
        <v>0</v>
      </c>
      <c r="N106" s="99">
        <f t="shared" si="4"/>
        <v>0</v>
      </c>
      <c r="O106" s="63"/>
    </row>
    <row r="107" spans="1:15" ht="12.75" customHeight="1" x14ac:dyDescent="0.2">
      <c r="A107" s="99" t="s">
        <v>451</v>
      </c>
      <c r="B107" s="99">
        <v>0</v>
      </c>
      <c r="C107" s="99">
        <v>0</v>
      </c>
      <c r="D107" s="99">
        <v>0</v>
      </c>
      <c r="E107" s="99">
        <v>0</v>
      </c>
      <c r="F107" s="99">
        <v>0</v>
      </c>
      <c r="G107" s="99">
        <v>0</v>
      </c>
      <c r="H107" s="99">
        <v>0</v>
      </c>
      <c r="I107" s="99">
        <v>0</v>
      </c>
      <c r="J107" s="99">
        <v>0</v>
      </c>
      <c r="K107" s="99">
        <v>0</v>
      </c>
      <c r="L107" s="99">
        <v>0</v>
      </c>
      <c r="M107" s="99">
        <v>0</v>
      </c>
      <c r="N107" s="99">
        <f t="shared" si="4"/>
        <v>0</v>
      </c>
      <c r="O107" s="63"/>
    </row>
    <row r="108" spans="1:15" ht="12.75" customHeight="1" x14ac:dyDescent="0.2">
      <c r="A108" s="99" t="s">
        <v>452</v>
      </c>
      <c r="B108" s="99">
        <v>0</v>
      </c>
      <c r="C108" s="99">
        <v>0</v>
      </c>
      <c r="D108" s="99">
        <v>0</v>
      </c>
      <c r="E108" s="99">
        <v>0</v>
      </c>
      <c r="F108" s="99">
        <v>0</v>
      </c>
      <c r="G108" s="99">
        <v>0</v>
      </c>
      <c r="H108" s="99">
        <v>0</v>
      </c>
      <c r="I108" s="99">
        <v>0</v>
      </c>
      <c r="J108" s="99">
        <v>0</v>
      </c>
      <c r="K108" s="99">
        <v>0</v>
      </c>
      <c r="L108" s="99">
        <v>0</v>
      </c>
      <c r="M108" s="99">
        <v>0</v>
      </c>
      <c r="N108" s="99">
        <f t="shared" si="4"/>
        <v>0</v>
      </c>
      <c r="O108" s="63"/>
    </row>
    <row r="109" spans="1:15" ht="12.75" customHeight="1" x14ac:dyDescent="0.2">
      <c r="A109" s="99" t="s">
        <v>453</v>
      </c>
      <c r="B109" s="99">
        <v>0</v>
      </c>
      <c r="C109" s="99">
        <v>95</v>
      </c>
      <c r="D109" s="99">
        <v>0</v>
      </c>
      <c r="E109" s="99">
        <v>0</v>
      </c>
      <c r="F109" s="99">
        <v>82</v>
      </c>
      <c r="G109" s="99">
        <v>0</v>
      </c>
      <c r="H109" s="99">
        <v>0</v>
      </c>
      <c r="I109" s="99">
        <v>82</v>
      </c>
      <c r="J109" s="99">
        <v>0</v>
      </c>
      <c r="K109" s="99">
        <v>0</v>
      </c>
      <c r="L109" s="99">
        <v>82</v>
      </c>
      <c r="M109" s="99">
        <v>0</v>
      </c>
      <c r="N109" s="99">
        <f t="shared" ref="N109:N124" si="5">SUM(B109:M109)</f>
        <v>341</v>
      </c>
      <c r="O109" s="63"/>
    </row>
    <row r="110" spans="1:15" ht="12.75" customHeight="1" x14ac:dyDescent="0.2">
      <c r="A110" s="99" t="s">
        <v>454</v>
      </c>
      <c r="B110" s="99">
        <v>108</v>
      </c>
      <c r="C110" s="99">
        <v>108</v>
      </c>
      <c r="D110" s="99">
        <v>108</v>
      </c>
      <c r="E110" s="99">
        <v>108</v>
      </c>
      <c r="F110" s="99">
        <v>108</v>
      </c>
      <c r="G110" s="99">
        <v>108</v>
      </c>
      <c r="H110" s="99">
        <v>108</v>
      </c>
      <c r="I110" s="99">
        <v>108</v>
      </c>
      <c r="J110" s="99">
        <v>109</v>
      </c>
      <c r="K110" s="99">
        <v>109</v>
      </c>
      <c r="L110" s="99">
        <v>109</v>
      </c>
      <c r="M110" s="99">
        <v>109</v>
      </c>
      <c r="N110" s="99">
        <f t="shared" si="5"/>
        <v>1300</v>
      </c>
      <c r="O110" s="63"/>
    </row>
    <row r="111" spans="1:15" ht="12.75" customHeight="1" x14ac:dyDescent="0.2">
      <c r="A111" s="99" t="s">
        <v>455</v>
      </c>
      <c r="B111" s="99">
        <v>0</v>
      </c>
      <c r="C111" s="99">
        <v>0</v>
      </c>
      <c r="D111" s="99">
        <v>0</v>
      </c>
      <c r="E111" s="99">
        <v>0</v>
      </c>
      <c r="F111" s="99">
        <v>0</v>
      </c>
      <c r="G111" s="99">
        <v>0</v>
      </c>
      <c r="H111" s="99">
        <v>0</v>
      </c>
      <c r="I111" s="99">
        <v>0</v>
      </c>
      <c r="J111" s="99">
        <v>0</v>
      </c>
      <c r="K111" s="99">
        <v>0</v>
      </c>
      <c r="L111" s="99">
        <v>0</v>
      </c>
      <c r="M111" s="99">
        <v>0</v>
      </c>
      <c r="N111" s="99">
        <f t="shared" si="5"/>
        <v>0</v>
      </c>
      <c r="O111" s="63"/>
    </row>
    <row r="112" spans="1:15" ht="12.75" customHeight="1" x14ac:dyDescent="0.2">
      <c r="A112" s="99" t="s">
        <v>456</v>
      </c>
      <c r="B112" s="99">
        <v>0</v>
      </c>
      <c r="C112" s="99">
        <v>0</v>
      </c>
      <c r="D112" s="99">
        <v>0</v>
      </c>
      <c r="E112" s="99">
        <v>0</v>
      </c>
      <c r="F112" s="99">
        <v>0</v>
      </c>
      <c r="G112" s="99">
        <v>0</v>
      </c>
      <c r="H112" s="99">
        <v>0</v>
      </c>
      <c r="I112" s="99">
        <v>0</v>
      </c>
      <c r="J112" s="99">
        <v>0</v>
      </c>
      <c r="K112" s="99">
        <v>0</v>
      </c>
      <c r="L112" s="99">
        <v>0</v>
      </c>
      <c r="M112" s="99">
        <v>0</v>
      </c>
      <c r="N112" s="99">
        <f t="shared" si="5"/>
        <v>0</v>
      </c>
      <c r="O112" s="63"/>
    </row>
    <row r="113" spans="1:15" ht="12.75" customHeight="1" x14ac:dyDescent="0.2">
      <c r="A113" s="99" t="s">
        <v>457</v>
      </c>
      <c r="B113" s="99">
        <v>132</v>
      </c>
      <c r="C113" s="99">
        <v>132</v>
      </c>
      <c r="D113" s="99">
        <v>132</v>
      </c>
      <c r="E113" s="99">
        <v>132</v>
      </c>
      <c r="F113" s="99">
        <v>132</v>
      </c>
      <c r="G113" s="99">
        <v>132</v>
      </c>
      <c r="H113" s="99">
        <v>132</v>
      </c>
      <c r="I113" s="99">
        <v>132</v>
      </c>
      <c r="J113" s="99">
        <v>131</v>
      </c>
      <c r="K113" s="99">
        <v>131</v>
      </c>
      <c r="L113" s="99">
        <v>131</v>
      </c>
      <c r="M113" s="99">
        <v>131</v>
      </c>
      <c r="N113" s="99">
        <f t="shared" si="5"/>
        <v>1580</v>
      </c>
      <c r="O113" s="63"/>
    </row>
    <row r="114" spans="1:15" ht="12.75" customHeight="1" x14ac:dyDescent="0.2">
      <c r="A114" s="99" t="s">
        <v>458</v>
      </c>
      <c r="B114" s="99">
        <v>50</v>
      </c>
      <c r="C114" s="99">
        <v>0</v>
      </c>
      <c r="D114" s="99">
        <v>0</v>
      </c>
      <c r="E114" s="99">
        <v>0</v>
      </c>
      <c r="F114" s="99">
        <v>0</v>
      </c>
      <c r="G114" s="99">
        <v>0</v>
      </c>
      <c r="H114" s="99">
        <v>0</v>
      </c>
      <c r="I114" s="99">
        <v>0</v>
      </c>
      <c r="J114" s="99">
        <v>0</v>
      </c>
      <c r="K114" s="99">
        <v>0</v>
      </c>
      <c r="L114" s="99">
        <v>0</v>
      </c>
      <c r="M114" s="99">
        <v>0</v>
      </c>
      <c r="N114" s="99">
        <f t="shared" si="5"/>
        <v>50</v>
      </c>
      <c r="O114" s="63"/>
    </row>
    <row r="115" spans="1:15" ht="12.75" customHeight="1" x14ac:dyDescent="0.2">
      <c r="A115" s="99" t="s">
        <v>459</v>
      </c>
      <c r="B115" s="99">
        <v>42</v>
      </c>
      <c r="C115" s="99">
        <v>42</v>
      </c>
      <c r="D115" s="99">
        <v>42</v>
      </c>
      <c r="E115" s="99">
        <v>42</v>
      </c>
      <c r="F115" s="99">
        <v>42</v>
      </c>
      <c r="G115" s="99">
        <v>42</v>
      </c>
      <c r="H115" s="99">
        <v>42</v>
      </c>
      <c r="I115" s="99">
        <v>42</v>
      </c>
      <c r="J115" s="99">
        <v>41</v>
      </c>
      <c r="K115" s="99">
        <v>41</v>
      </c>
      <c r="L115" s="99">
        <v>41</v>
      </c>
      <c r="M115" s="99">
        <v>41</v>
      </c>
      <c r="N115" s="99">
        <f t="shared" si="5"/>
        <v>500</v>
      </c>
      <c r="O115" s="63"/>
    </row>
    <row r="116" spans="1:15" ht="12.75" customHeight="1" x14ac:dyDescent="0.2">
      <c r="A116" s="99" t="s">
        <v>460</v>
      </c>
      <c r="B116" s="99">
        <v>220</v>
      </c>
      <c r="C116" s="99">
        <v>220</v>
      </c>
      <c r="D116" s="99">
        <v>50</v>
      </c>
      <c r="E116" s="99">
        <v>50</v>
      </c>
      <c r="F116" s="99">
        <v>50</v>
      </c>
      <c r="G116" s="99">
        <v>220</v>
      </c>
      <c r="H116" s="99">
        <v>220</v>
      </c>
      <c r="I116" s="99">
        <v>220</v>
      </c>
      <c r="J116" s="99">
        <v>220</v>
      </c>
      <c r="K116" s="99">
        <v>220</v>
      </c>
      <c r="L116" s="99">
        <v>220</v>
      </c>
      <c r="M116" s="99">
        <v>220</v>
      </c>
      <c r="N116" s="99">
        <f t="shared" si="5"/>
        <v>2130</v>
      </c>
      <c r="O116" s="63"/>
    </row>
    <row r="117" spans="1:15" ht="12.75" customHeight="1" x14ac:dyDescent="0.2">
      <c r="A117" s="99" t="s">
        <v>461</v>
      </c>
      <c r="B117" s="99">
        <v>948</v>
      </c>
      <c r="C117" s="99">
        <v>401</v>
      </c>
      <c r="D117" s="99">
        <v>401</v>
      </c>
      <c r="E117" s="99">
        <v>976</v>
      </c>
      <c r="F117" s="99">
        <v>401</v>
      </c>
      <c r="G117" s="99">
        <v>401</v>
      </c>
      <c r="H117" s="99">
        <v>976</v>
      </c>
      <c r="I117" s="99">
        <v>401</v>
      </c>
      <c r="J117" s="99">
        <v>370</v>
      </c>
      <c r="K117" s="99">
        <v>575</v>
      </c>
      <c r="L117" s="99">
        <v>0</v>
      </c>
      <c r="M117" s="99">
        <v>0</v>
      </c>
      <c r="N117" s="99">
        <f t="shared" si="5"/>
        <v>5850</v>
      </c>
      <c r="O117" s="63"/>
    </row>
    <row r="118" spans="1:15" ht="12.75" customHeight="1" x14ac:dyDescent="0.2">
      <c r="A118" s="99" t="s">
        <v>462</v>
      </c>
      <c r="B118" s="99">
        <v>1</v>
      </c>
      <c r="C118" s="99">
        <v>0</v>
      </c>
      <c r="D118" s="99">
        <v>0</v>
      </c>
      <c r="E118" s="99">
        <v>0</v>
      </c>
      <c r="F118" s="99">
        <v>0</v>
      </c>
      <c r="G118" s="99">
        <v>0</v>
      </c>
      <c r="H118" s="99">
        <v>0</v>
      </c>
      <c r="I118" s="99">
        <v>0</v>
      </c>
      <c r="J118" s="99">
        <v>0</v>
      </c>
      <c r="K118" s="99">
        <v>0</v>
      </c>
      <c r="L118" s="99">
        <v>0</v>
      </c>
      <c r="M118" s="99">
        <v>0</v>
      </c>
      <c r="N118" s="99">
        <f t="shared" si="5"/>
        <v>1</v>
      </c>
      <c r="O118" s="63"/>
    </row>
    <row r="119" spans="1:15" ht="12.75" customHeight="1" x14ac:dyDescent="0.2">
      <c r="A119" s="99" t="s">
        <v>463</v>
      </c>
      <c r="B119" s="99">
        <v>1087</v>
      </c>
      <c r="C119" s="99">
        <v>0</v>
      </c>
      <c r="D119" s="99">
        <v>0</v>
      </c>
      <c r="E119" s="99">
        <v>0</v>
      </c>
      <c r="F119" s="99">
        <v>0</v>
      </c>
      <c r="G119" s="99">
        <v>0</v>
      </c>
      <c r="H119" s="99">
        <v>0</v>
      </c>
      <c r="I119" s="99">
        <v>0</v>
      </c>
      <c r="J119" s="99">
        <v>0</v>
      </c>
      <c r="K119" s="99">
        <v>0</v>
      </c>
      <c r="L119" s="99">
        <v>0</v>
      </c>
      <c r="M119" s="99">
        <v>0</v>
      </c>
      <c r="N119" s="99">
        <f t="shared" si="5"/>
        <v>1087</v>
      </c>
      <c r="O119" s="63"/>
    </row>
    <row r="120" spans="1:15" ht="12.75" customHeight="1" x14ac:dyDescent="0.2">
      <c r="A120" s="99" t="s">
        <v>464</v>
      </c>
      <c r="B120" s="99">
        <v>60</v>
      </c>
      <c r="C120" s="99">
        <v>59</v>
      </c>
      <c r="D120" s="99">
        <v>59</v>
      </c>
      <c r="E120" s="99">
        <v>59</v>
      </c>
      <c r="F120" s="99">
        <v>59</v>
      </c>
      <c r="G120" s="99">
        <v>59</v>
      </c>
      <c r="H120" s="99">
        <v>59</v>
      </c>
      <c r="I120" s="99">
        <v>59</v>
      </c>
      <c r="J120" s="99">
        <v>59</v>
      </c>
      <c r="K120" s="99">
        <v>59</v>
      </c>
      <c r="L120" s="99">
        <v>59</v>
      </c>
      <c r="M120" s="99">
        <v>59</v>
      </c>
      <c r="N120" s="99">
        <f t="shared" si="5"/>
        <v>709</v>
      </c>
      <c r="O120" s="63"/>
    </row>
    <row r="121" spans="1:15" ht="12.75" customHeight="1" x14ac:dyDescent="0.2">
      <c r="A121" s="99" t="s">
        <v>465</v>
      </c>
      <c r="B121" s="99">
        <v>25</v>
      </c>
      <c r="C121" s="99">
        <v>25</v>
      </c>
      <c r="D121" s="99">
        <v>25</v>
      </c>
      <c r="E121" s="99">
        <v>25</v>
      </c>
      <c r="F121" s="99">
        <v>25</v>
      </c>
      <c r="G121" s="99">
        <v>25</v>
      </c>
      <c r="H121" s="99">
        <v>25</v>
      </c>
      <c r="I121" s="99">
        <v>25</v>
      </c>
      <c r="J121" s="99">
        <v>25</v>
      </c>
      <c r="K121" s="99">
        <v>25</v>
      </c>
      <c r="L121" s="99">
        <v>25</v>
      </c>
      <c r="M121" s="99">
        <v>25</v>
      </c>
      <c r="N121" s="99">
        <f t="shared" si="5"/>
        <v>300</v>
      </c>
      <c r="O121" s="63"/>
    </row>
    <row r="122" spans="1:15" ht="12.75" customHeight="1" x14ac:dyDescent="0.2">
      <c r="A122" s="99" t="s">
        <v>466</v>
      </c>
      <c r="B122" s="99">
        <v>1200</v>
      </c>
      <c r="C122" s="99">
        <v>500</v>
      </c>
      <c r="D122" s="99">
        <v>0</v>
      </c>
      <c r="E122" s="99">
        <v>750</v>
      </c>
      <c r="F122" s="99">
        <v>2250</v>
      </c>
      <c r="G122" s="99">
        <v>0</v>
      </c>
      <c r="H122" s="99">
        <v>500</v>
      </c>
      <c r="I122" s="99">
        <v>0</v>
      </c>
      <c r="J122" s="99">
        <v>0</v>
      </c>
      <c r="K122" s="99">
        <v>0</v>
      </c>
      <c r="L122" s="99">
        <v>0</v>
      </c>
      <c r="M122" s="99">
        <v>0</v>
      </c>
      <c r="N122" s="99">
        <f t="shared" si="5"/>
        <v>5200</v>
      </c>
      <c r="O122" s="63"/>
    </row>
    <row r="123" spans="1:15" ht="12.75" customHeight="1" x14ac:dyDescent="0.2">
      <c r="A123" s="99" t="s">
        <v>467</v>
      </c>
      <c r="B123" s="99">
        <v>0</v>
      </c>
      <c r="C123" s="99">
        <v>0</v>
      </c>
      <c r="D123" s="99">
        <v>0</v>
      </c>
      <c r="E123" s="99">
        <v>0</v>
      </c>
      <c r="F123" s="99">
        <v>0</v>
      </c>
      <c r="G123" s="99">
        <v>0</v>
      </c>
      <c r="H123" s="99">
        <v>0</v>
      </c>
      <c r="I123" s="99">
        <v>0</v>
      </c>
      <c r="J123" s="99">
        <v>0</v>
      </c>
      <c r="K123" s="99">
        <v>0</v>
      </c>
      <c r="L123" s="99">
        <v>0</v>
      </c>
      <c r="M123" s="99">
        <v>0</v>
      </c>
      <c r="N123" s="99">
        <f t="shared" si="5"/>
        <v>0</v>
      </c>
      <c r="O123" s="63"/>
    </row>
    <row r="124" spans="1:15" ht="12.75" customHeight="1" x14ac:dyDescent="0.2">
      <c r="A124" s="100" t="s">
        <v>468</v>
      </c>
      <c r="B124" s="101">
        <f t="shared" ref="B124:M124" si="6">SUM(B45:B123)</f>
        <v>33310</v>
      </c>
      <c r="C124" s="101">
        <f t="shared" si="6"/>
        <v>11633</v>
      </c>
      <c r="D124" s="101">
        <f t="shared" si="6"/>
        <v>11768</v>
      </c>
      <c r="E124" s="101">
        <f t="shared" si="6"/>
        <v>12003</v>
      </c>
      <c r="F124" s="101">
        <f t="shared" si="6"/>
        <v>14773</v>
      </c>
      <c r="G124" s="101">
        <f t="shared" si="6"/>
        <v>14123</v>
      </c>
      <c r="H124" s="101">
        <f t="shared" si="6"/>
        <v>14681</v>
      </c>
      <c r="I124" s="101">
        <f t="shared" si="6"/>
        <v>10725</v>
      </c>
      <c r="J124" s="101">
        <f t="shared" si="6"/>
        <v>9297</v>
      </c>
      <c r="K124" s="101">
        <f t="shared" si="6"/>
        <v>11065</v>
      </c>
      <c r="L124" s="101">
        <f t="shared" si="6"/>
        <v>8648</v>
      </c>
      <c r="M124" s="101">
        <f t="shared" si="6"/>
        <v>9006</v>
      </c>
      <c r="N124" s="102">
        <f t="shared" si="5"/>
        <v>161032</v>
      </c>
      <c r="O124" s="63"/>
    </row>
    <row r="125" spans="1:15" ht="12.75" customHeight="1" x14ac:dyDescent="0.2"/>
    <row r="126" spans="1:15" ht="12.75" customHeight="1" thickBot="1" x14ac:dyDescent="0.25">
      <c r="A126" s="103" t="s">
        <v>469</v>
      </c>
      <c r="B126" s="104">
        <f t="shared" ref="B126:M126" si="7">(0+(0)+(B124)+(0))-(0)</f>
        <v>33310</v>
      </c>
      <c r="C126" s="104">
        <f t="shared" si="7"/>
        <v>11633</v>
      </c>
      <c r="D126" s="104">
        <f t="shared" si="7"/>
        <v>11768</v>
      </c>
      <c r="E126" s="104">
        <f t="shared" si="7"/>
        <v>12003</v>
      </c>
      <c r="F126" s="104">
        <f t="shared" si="7"/>
        <v>14773</v>
      </c>
      <c r="G126" s="104">
        <f t="shared" si="7"/>
        <v>14123</v>
      </c>
      <c r="H126" s="104">
        <f t="shared" si="7"/>
        <v>14681</v>
      </c>
      <c r="I126" s="104">
        <f t="shared" si="7"/>
        <v>10725</v>
      </c>
      <c r="J126" s="104">
        <f t="shared" si="7"/>
        <v>9297</v>
      </c>
      <c r="K126" s="104">
        <f t="shared" si="7"/>
        <v>11065</v>
      </c>
      <c r="L126" s="104">
        <f t="shared" si="7"/>
        <v>8648</v>
      </c>
      <c r="M126" s="104">
        <f t="shared" si="7"/>
        <v>9006</v>
      </c>
      <c r="N126" s="104">
        <f>SUM(B126:M126)</f>
        <v>161032</v>
      </c>
      <c r="O126" s="63"/>
    </row>
    <row r="127" spans="1:15" ht="12.75" customHeight="1" thickTop="1" x14ac:dyDescent="0.2"/>
    <row r="128" spans="1:15" ht="12.75" customHeight="1" thickBot="1" x14ac:dyDescent="0.25">
      <c r="A128" s="103" t="s">
        <v>470</v>
      </c>
      <c r="B128" s="104">
        <f t="shared" ref="B128:M128" si="8">(0+(B37)+(B42))-(0+(B126))</f>
        <v>54404</v>
      </c>
      <c r="C128" s="104">
        <f t="shared" si="8"/>
        <v>-10419</v>
      </c>
      <c r="D128" s="104">
        <f t="shared" si="8"/>
        <v>-10743</v>
      </c>
      <c r="E128" s="104">
        <f t="shared" si="8"/>
        <v>-10978</v>
      </c>
      <c r="F128" s="104">
        <f t="shared" si="8"/>
        <v>-13748</v>
      </c>
      <c r="G128" s="104">
        <f t="shared" si="8"/>
        <v>73591</v>
      </c>
      <c r="H128" s="104">
        <f t="shared" si="8"/>
        <v>-13467</v>
      </c>
      <c r="I128" s="104">
        <f t="shared" si="8"/>
        <v>-9276</v>
      </c>
      <c r="J128" s="104">
        <f t="shared" si="8"/>
        <v>-7883</v>
      </c>
      <c r="K128" s="104">
        <f t="shared" si="8"/>
        <v>-9313</v>
      </c>
      <c r="L128" s="104">
        <f t="shared" si="8"/>
        <v>-7437</v>
      </c>
      <c r="M128" s="104">
        <f t="shared" si="8"/>
        <v>-7796</v>
      </c>
      <c r="N128" s="104">
        <f>SUM(B128:M128)</f>
        <v>26935</v>
      </c>
      <c r="O128" s="63"/>
    </row>
    <row r="130" spans="13:14" x14ac:dyDescent="0.2">
      <c r="M130" s="62" t="s">
        <v>471</v>
      </c>
      <c r="N130" s="99">
        <v>159818.57900000003</v>
      </c>
    </row>
    <row r="131" spans="13:14" x14ac:dyDescent="0.2">
      <c r="M131" s="62" t="s">
        <v>472</v>
      </c>
      <c r="N131" s="99">
        <v>1214</v>
      </c>
    </row>
    <row r="132" spans="13:14" x14ac:dyDescent="0.2">
      <c r="M132" s="62" t="s">
        <v>473</v>
      </c>
      <c r="N132" s="105">
        <f>SUM(N130:N131)</f>
        <v>161032.57900000003</v>
      </c>
    </row>
    <row r="133" spans="13:14" x14ac:dyDescent="0.2">
      <c r="M133" s="62" t="s">
        <v>474</v>
      </c>
      <c r="N133" s="99">
        <f>N132-N124</f>
        <v>0.57900000002700835</v>
      </c>
    </row>
    <row r="134" spans="13:14" x14ac:dyDescent="0.2">
      <c r="N134" s="99"/>
    </row>
  </sheetData>
  <mergeCells count="3">
    <mergeCell ref="A1:N1"/>
    <mergeCell ref="A2:N2"/>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Ledger Detail</vt:lpstr>
      <vt:lpstr>Audit Trail Allocated Reserves</vt:lpstr>
      <vt:lpstr>Budget in Xero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ChiseldonPC</dc:creator>
  <cp:lastModifiedBy>Nina Hempstock - RFO &amp; Admin Officer - Chiseldon PC</cp:lastModifiedBy>
  <dcterms:created xsi:type="dcterms:W3CDTF">2025-06-06T12:07:38Z</dcterms:created>
  <dcterms:modified xsi:type="dcterms:W3CDTF">2025-06-17T11:41:54Z</dcterms:modified>
</cp:coreProperties>
</file>