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207" documentId="8_{1D467D61-84A5-41C8-AA0A-5FC1AB6AEBA0}" xr6:coauthVersionLast="47" xr6:coauthVersionMax="47" xr10:uidLastSave="{893345EE-A5F5-48C8-82B6-5D96E530D9C9}"/>
  <bookViews>
    <workbookView xWindow="-108" yWindow="-108" windowWidth="23256" windowHeight="12456" xr2:uid="{00000000-000D-0000-FFFF-FFFF00000000}"/>
  </bookViews>
  <sheets>
    <sheet name="General Ledger Detail" sheetId="1" r:id="rId1"/>
    <sheet name="Audit Trail Allocated Reserves" sheetId="2" r:id="rId2"/>
    <sheet name="Calendarised Budget in Xer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" l="1"/>
  <c r="J98" i="1"/>
  <c r="C78" i="2"/>
  <c r="C77" i="2"/>
  <c r="C75" i="2"/>
  <c r="J100" i="1"/>
  <c r="J99" i="1"/>
  <c r="J93" i="1"/>
  <c r="J107" i="1" l="1"/>
  <c r="M85" i="2" l="1"/>
  <c r="C74" i="2"/>
  <c r="C73" i="2"/>
  <c r="C72" i="2"/>
  <c r="C71" i="2"/>
  <c r="C70" i="2"/>
  <c r="C69" i="2"/>
  <c r="C68" i="2"/>
  <c r="C67" i="2"/>
  <c r="C65" i="2"/>
  <c r="C64" i="2"/>
  <c r="C63" i="2"/>
  <c r="C62" i="2"/>
  <c r="C61" i="2"/>
  <c r="C60" i="2"/>
  <c r="C59" i="2"/>
  <c r="C57" i="2"/>
  <c r="C56" i="2"/>
  <c r="C55" i="2"/>
  <c r="C54" i="2"/>
  <c r="C53" i="2"/>
  <c r="C52" i="2"/>
  <c r="C51" i="2"/>
  <c r="C50" i="2"/>
  <c r="C49" i="2"/>
  <c r="C48" i="2"/>
  <c r="C47" i="2"/>
  <c r="J46" i="2"/>
  <c r="C28" i="2"/>
  <c r="C27" i="2"/>
  <c r="C26" i="2"/>
  <c r="C24" i="2"/>
  <c r="C21" i="2"/>
  <c r="C20" i="2"/>
  <c r="C19" i="2"/>
  <c r="C12" i="2"/>
  <c r="J112" i="1"/>
  <c r="J103" i="1"/>
  <c r="J102" i="1"/>
  <c r="J101" i="1"/>
  <c r="J97" i="1"/>
  <c r="J96" i="1"/>
  <c r="J95" i="1"/>
  <c r="J94" i="1"/>
  <c r="J89" i="1"/>
  <c r="G81" i="1"/>
  <c r="F81" i="1"/>
  <c r="E81" i="1"/>
  <c r="J105" i="1" l="1"/>
  <c r="J108" i="1"/>
  <c r="J113" i="1" s="1"/>
  <c r="J109" i="1" l="1"/>
</calcChain>
</file>

<file path=xl/sharedStrings.xml><?xml version="1.0" encoding="utf-8"?>
<sst xmlns="http://schemas.openxmlformats.org/spreadsheetml/2006/main" count="797" uniqueCount="439">
  <si>
    <t>General Ledger Detail</t>
  </si>
  <si>
    <t>Chiseldon Parish Council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</si>
  <si>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</si>
  <si>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</si>
  <si>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</si>
  <si>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</si>
  <si>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</si>
  <si>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</si>
  <si>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</si>
  <si>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</si>
  <si>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</si>
  <si>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</si>
  <si>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</si>
  <si>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214</t>
  </si>
  <si>
    <t>Tennis Club Yearly rent</t>
  </si>
  <si>
    <t>No VAT</t>
  </si>
  <si>
    <t>324</t>
  </si>
  <si>
    <t>Christmas Tree Elec Supply</t>
  </si>
  <si>
    <t>Christmas tree elec standing charge</t>
  </si>
  <si>
    <t>5% (VAT on Expenses)</t>
  </si>
  <si>
    <t>504</t>
  </si>
  <si>
    <t>Finance: Telephone and Broadband</t>
  </si>
  <si>
    <t>20% (VAT on Expenses)</t>
  </si>
  <si>
    <t>210</t>
  </si>
  <si>
    <t>Recreation:Hall Hire income</t>
  </si>
  <si>
    <t>Rec Hall hire on Sat 9th Nov at 16:30 for 1.5 hours</t>
  </si>
  <si>
    <t>20% (VAT on Income)</t>
  </si>
  <si>
    <t>202</t>
  </si>
  <si>
    <t>Environment:Cemetery income</t>
  </si>
  <si>
    <t>Pre -purchase of burial plot N186 in SHCMG</t>
  </si>
  <si>
    <t>Exempt Income</t>
  </si>
  <si>
    <t>338</t>
  </si>
  <si>
    <t>Recreation - CVPA inspections</t>
  </si>
  <si>
    <t>364</t>
  </si>
  <si>
    <t>EGPA - Village Planter costs</t>
  </si>
  <si>
    <t>366</t>
  </si>
  <si>
    <t>EGPA: Misc Expenditure</t>
  </si>
  <si>
    <t>365</t>
  </si>
  <si>
    <t>EGPA Allotments - costs</t>
  </si>
  <si>
    <t>211</t>
  </si>
  <si>
    <t>Recreation: Football Pitch hire income</t>
  </si>
  <si>
    <t>360</t>
  </si>
  <si>
    <t>Environment: General Maintenance</t>
  </si>
  <si>
    <t>337</t>
  </si>
  <si>
    <t>Recreation - CVPA Repair costs</t>
  </si>
  <si>
    <t>351</t>
  </si>
  <si>
    <t>Environment: Hedge Trimming and Grass cutting</t>
  </si>
  <si>
    <t>326</t>
  </si>
  <si>
    <t>Recreation: Building Maintenance</t>
  </si>
  <si>
    <t>367</t>
  </si>
  <si>
    <t>EGPA - STORM costs</t>
  </si>
  <si>
    <t>PPM service Oct</t>
  </si>
  <si>
    <t>505</t>
  </si>
  <si>
    <t>Finance: Stationery</t>
  </si>
  <si>
    <t>511</t>
  </si>
  <si>
    <t>Finance: Professional Fees</t>
  </si>
  <si>
    <t>334</t>
  </si>
  <si>
    <t>Recreation: Water</t>
  </si>
  <si>
    <t>Rec ground water</t>
  </si>
  <si>
    <t>333</t>
  </si>
  <si>
    <t>Recreation: Gas and Electricity - Rec Hall &amp; Pavillion</t>
  </si>
  <si>
    <t>EDF Rec ground monthly elec DD</t>
  </si>
  <si>
    <t>363</t>
  </si>
  <si>
    <t>Environment - Water Supply</t>
  </si>
  <si>
    <t>Chapel water</t>
  </si>
  <si>
    <t>350</t>
  </si>
  <si>
    <t>Environment: WARP</t>
  </si>
  <si>
    <t>353</t>
  </si>
  <si>
    <t>Environment: Gas and Electricity - Chapel</t>
  </si>
  <si>
    <t>EDF Chapel monthly elec DD</t>
  </si>
  <si>
    <t>330</t>
  </si>
  <si>
    <t>Recreation: Grounds Maintenance</t>
  </si>
  <si>
    <t>Annual PAT testing</t>
  </si>
  <si>
    <t>354</t>
  </si>
  <si>
    <t>Environment: Building Maintenance</t>
  </si>
  <si>
    <t>825</t>
  </si>
  <si>
    <t>PAYE &amp; NI Payable (HMRC)</t>
  </si>
  <si>
    <t>331</t>
  </si>
  <si>
    <t>Recreation: CVPA general Maintenance</t>
  </si>
  <si>
    <t>361</t>
  </si>
  <si>
    <t>Environment:Litter Picking</t>
  </si>
  <si>
    <t>342</t>
  </si>
  <si>
    <t>Planning. SIDS signage expenditure.</t>
  </si>
  <si>
    <t>352</t>
  </si>
  <si>
    <t>Environment: Dog and Litter bins</t>
  </si>
  <si>
    <t>357</t>
  </si>
  <si>
    <t>Environment: Cemetery Maintenance</t>
  </si>
  <si>
    <t>329</t>
  </si>
  <si>
    <t>Recreation: Waste Collection</t>
  </si>
  <si>
    <t>512</t>
  </si>
  <si>
    <t>Finance: IT - PC, virus, email, domain name &amp; Xero</t>
  </si>
  <si>
    <t>Xero monthly fees</t>
  </si>
  <si>
    <t>508</t>
  </si>
  <si>
    <t>Finance: Website, Marketing, flyers &amp; leaflets, advertisements</t>
  </si>
  <si>
    <t>Monthly website fees</t>
  </si>
  <si>
    <t>Phone and Broadband</t>
  </si>
  <si>
    <t>858</t>
  </si>
  <si>
    <t>Pensions Payable</t>
  </si>
  <si>
    <t>814</t>
  </si>
  <si>
    <t>Wages Payable - Payroll</t>
  </si>
  <si>
    <t>507</t>
  </si>
  <si>
    <t>Finance: Staff salary only</t>
  </si>
  <si>
    <t>482</t>
  </si>
  <si>
    <t>Pensions Costs</t>
  </si>
  <si>
    <t>Total</t>
  </si>
  <si>
    <t>Chiseldon Tennis Club, Nov 23 to Oct 24 - Total water costs for Rec and Pavilion £271.37. 50% for Rec Hall £135.69, 20%  for tennis club £27.15</t>
  </si>
  <si>
    <t>Chiseldon Tennis Club, Nov 23 to Oct 24 - Business rates. Total cost £1,035.43, 20% costs £207.10</t>
  </si>
  <si>
    <t>Chiseldon Tennis Club, Nov 23 to Oct 24 - Electricity. Total cost £1,197.65, 20% costs £239.54</t>
  </si>
  <si>
    <t>Chiseldon Tennis Club, Nov 23 to Oct 24 - H&amp;S maintenance costs. Fire appliances servicing in the tennis club £51.32. 20% costs £10.27</t>
  </si>
  <si>
    <t>Chiseldon Tennis Club, Nov 23 to Oct 24 - Insurance costs.
20% cost of the Rec hall building insurance £98.93
100% of:
Tennis Courts surfacing £357.77
Tennis Courts floodlighting £55.86
Tennis Courts fencing £31.26
Tennis Courts posts for nets £21.90</t>
  </si>
  <si>
    <t>Chiseldon Tennis Club, Nov 23 to Oct 24 - Rec hall roof repairs. Total cost 1,811.30, 20% of cost £362.27</t>
  </si>
  <si>
    <t>Chiseldon Tennis Club, Nov 23 to Oct 24 - Handyman wall repairs (removed crumbling top layer and added a new cement layer). Total cost £100, 20% costs £21</t>
  </si>
  <si>
    <t>Viop Bronze</t>
  </si>
  <si>
    <t>Text/call charges as per attached itemised statement</t>
  </si>
  <si>
    <t>Play Inspection Co - CVPA operational inspection</t>
  </si>
  <si>
    <t>October Handyman Hours: Delivered plants to volunteers. Collected materials and built/replaced Draycot Road planter</t>
  </si>
  <si>
    <t>October Handyman Hours: Delivered newsletter to Burderop park</t>
  </si>
  <si>
    <t>October Handyman Hours: Fitted chicken wire to bottom of the fence. Collected materials and installed new gate and fence at the allotments</t>
  </si>
  <si>
    <t>October Handyman Expenses: Allotment gate, various materials</t>
  </si>
  <si>
    <t>October Handyman Hours: Risk assessments for cemetery &amp; street furniture, put up notices, collected name tags &amp; set up rec hall for meeting, painted Hodson village bus stop with anti graffiti paint, placed poppy signs around parish, set up and cleaned war memorial</t>
  </si>
  <si>
    <t>October Handyman Expenses: Support beech hedge at Castle View green, various materials</t>
  </si>
  <si>
    <t>October Handyman Hours: CVPA. Refitted sign, assembled and installed swings</t>
  </si>
  <si>
    <t>October Handyman Hours: Cut beech hedge at Castle View green</t>
  </si>
  <si>
    <t>October Handyman Hours: Checked and fixed tennis club toilet</t>
  </si>
  <si>
    <t>October Handyman Hedge work at the washpool</t>
  </si>
  <si>
    <t>Purchase of Cremation plot C42 at the Sir Henry Calley Memorial Garden</t>
  </si>
  <si>
    <t>Burial costs for cremated remains in plot C42 at the Sir Henry Calley Memorial Garden</t>
  </si>
  <si>
    <t>Memorial Stone plot N126 SHCMG</t>
  </si>
  <si>
    <t>October credit card. 50 white envelopes</t>
  </si>
  <si>
    <t>October credit card. Epson multi coloured ink</t>
  </si>
  <si>
    <t>October credit card. Epson black ink</t>
  </si>
  <si>
    <t>October credit card. Amazon delivery charge for stationery order</t>
  </si>
  <si>
    <t>October credit card. Unity payment card monthly charge</t>
  </si>
  <si>
    <t>October credit card. Urban Hygiene Ltd. Anti-Graffiti Coating plus delivery</t>
  </si>
  <si>
    <t>S.Merrett Services - Verti Quake whole field</t>
  </si>
  <si>
    <t>Rec Hall hire on Saturday 4th January, 9:30am - 1:30pm</t>
  </si>
  <si>
    <t>Sansum &amp; Co Ltd - Interim internal audit 2024-26</t>
  </si>
  <si>
    <t>Septiclean Ltd - Chapel septic tank emptying</t>
  </si>
  <si>
    <t>HMRC Cumbernauld - Nov PAYE tax</t>
  </si>
  <si>
    <t>Staff Nov salaries (incl back pay)</t>
  </si>
  <si>
    <t>Wages journal (Net Salary)</t>
  </si>
  <si>
    <t>Wages journal (Total to HMRC)</t>
  </si>
  <si>
    <t>Wages journal (Gross Salary)</t>
  </si>
  <si>
    <t>Wages journal (Employer NI)</t>
  </si>
  <si>
    <t>Wages journal (Employers Pension payments)</t>
  </si>
  <si>
    <t>Wages journal (Total Pension Payments Ers &amp; Ees)</t>
  </si>
  <si>
    <t>Staff payment pensions</t>
  </si>
  <si>
    <t>Pension contribution CPC % staff pensions</t>
  </si>
  <si>
    <t>Allbuild - To carry out emergency repairs to Rec hall roof</t>
  </si>
  <si>
    <t>Allbuild - Additional cost for allotment fencing</t>
  </si>
  <si>
    <t>Allbuild - Castle View play area grass cutting</t>
  </si>
  <si>
    <t>Allbuild - Litter picking within parish</t>
  </si>
  <si>
    <t>Allbuild - To move the solar panel</t>
  </si>
  <si>
    <t>Allbuild - Around the parish grass cutting</t>
  </si>
  <si>
    <t>Allbuild - Waste litter bins</t>
  </si>
  <si>
    <t>Allbuild - Dog waste bins</t>
  </si>
  <si>
    <t>Allbuild - Rec field grass cutting</t>
  </si>
  <si>
    <t>Allbuild - Path to rec ground from Hodson rd</t>
  </si>
  <si>
    <t>Allbuild - Cemetery cuts</t>
  </si>
  <si>
    <t>Allbuild - Collection of waste from bins at Rec Grounds</t>
  </si>
  <si>
    <t>*Please email the RFO if Cllrs would like to see any or all invoices related to this month</t>
  </si>
  <si>
    <t>Income (or refund, discount, deposits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</si>
  <si>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</si>
  <si>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</si>
  <si>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</si>
  <si>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</si>
  <si>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</si>
  <si>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</si>
  <si>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</si>
  <si>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</si>
  <si>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See additional tabs for more info</t>
  </si>
  <si>
    <t>A</t>
  </si>
  <si>
    <t>Recreation Ground Drainage</t>
  </si>
  <si>
    <t>No change</t>
  </si>
  <si>
    <t>B</t>
  </si>
  <si>
    <t>Recreation Hall Replacement</t>
  </si>
  <si>
    <t>Add £8,387.78 to rec hall project for bank interest received between  Jan-Sept 2024</t>
  </si>
  <si>
    <t>C</t>
  </si>
  <si>
    <t>Draycot Foliat Parking</t>
  </si>
  <si>
    <t>Minus £1,095 for Draycot Close safety audit</t>
  </si>
  <si>
    <t>D</t>
  </si>
  <si>
    <t>Windmill Piece Parking</t>
  </si>
  <si>
    <t>E</t>
  </si>
  <si>
    <t>Neighbourhood Plan CPC Funds</t>
  </si>
  <si>
    <t>F</t>
  </si>
  <si>
    <t>Neighbourhood Plan Groundwork Grant</t>
  </si>
  <si>
    <t>G</t>
  </si>
  <si>
    <t>Planning - New SID</t>
  </si>
  <si>
    <t>H</t>
  </si>
  <si>
    <t>EGPA Bell Tower</t>
  </si>
  <si>
    <t>Minus £1,800 for repair work</t>
  </si>
  <si>
    <t>I</t>
  </si>
  <si>
    <t>Chapel Windows Refurb</t>
  </si>
  <si>
    <t>J</t>
  </si>
  <si>
    <t>Allotment Deposits</t>
  </si>
  <si>
    <t>K</t>
  </si>
  <si>
    <t>CIL Funds</t>
  </si>
  <si>
    <t>L</t>
  </si>
  <si>
    <t>Future Cemetery Maintenance</t>
  </si>
  <si>
    <t>Allocated Reserves Subtotal</t>
  </si>
  <si>
    <t>A+B+C+D+E+F+G+H+I+J</t>
  </si>
  <si>
    <t>Rest of Year Expenses</t>
  </si>
  <si>
    <t>(2024-25 expenses budget remaining months)</t>
  </si>
  <si>
    <t>Unallocated Reserves</t>
  </si>
  <si>
    <t>(1-2-3). Total funds minus allocated reserves and rest of year expenses  budget. Should not fall below 50% of annual expenses budget (£68,747)</t>
  </si>
  <si>
    <t>Total Reserves</t>
  </si>
  <si>
    <t>2+4</t>
  </si>
  <si>
    <t>Of Unallocated Reserves:</t>
  </si>
  <si>
    <t>Funds to cover precept non payment:</t>
  </si>
  <si>
    <t>Contingency Reserves:</t>
  </si>
  <si>
    <t>Please note this report is accruals basis and shows CPC invoices that have been sent but may not have been paid yet</t>
  </si>
  <si>
    <t>Chiseldon football Club October matches - Senior football pitch hire per game</t>
  </si>
  <si>
    <t>Chiseldon football Club October matches - Junior football pitch hire per game</t>
  </si>
  <si>
    <t>Unity monthly service charge</t>
  </si>
  <si>
    <t>Unity monthly transaction charges</t>
  </si>
  <si>
    <t>Unity Current Account at 30th November 2024</t>
  </si>
  <si>
    <t>Unity Savings Account at 30th November 2024</t>
  </si>
  <si>
    <t>(VAT refund due for Oct &amp; Nov)</t>
  </si>
  <si>
    <t>Total funds at 30th November 2024</t>
  </si>
  <si>
    <t>CCLA Investment Account at 30th November 2024</t>
  </si>
  <si>
    <t>(50% of 2024-25 Budgeted Expenses. Funds required to be held in the event of Swindon Borough Council being unable to pay the precept)</t>
  </si>
  <si>
    <t>April 2022-23</t>
  </si>
  <si>
    <t>Amount</t>
  </si>
  <si>
    <t>2023/24 Budget</t>
  </si>
  <si>
    <t>2023/24 Budget minus spend since budget set and residual funds transferred back to Groundwork UK as per grant conditions</t>
  </si>
  <si>
    <t>BMX/Pump Track</t>
  </si>
  <si>
    <t>CVPA Fund - Skate Park</t>
  </si>
  <si>
    <t>CVPA Fund - Muga Goals</t>
  </si>
  <si>
    <t>2023-24</t>
  </si>
  <si>
    <t>May</t>
  </si>
  <si>
    <t>Minus £256.66 see NHP tab</t>
  </si>
  <si>
    <t>June</t>
  </si>
  <si>
    <t>Minus £824.63 for Andrea Pellegram technical support (gap in funding)</t>
  </si>
  <si>
    <t>July</t>
  </si>
  <si>
    <t>August</t>
  </si>
  <si>
    <t>September</t>
  </si>
  <si>
    <t>Minus £1,630 for NHP data Search, GIS data prep and mapping. Andrea Pellegram NHP consultancy fees Apr-Aug from CPC own funds.</t>
  </si>
  <si>
    <t>Virement approved at March finance meeting, +£3.7k</t>
  </si>
  <si>
    <t>£500 virement approved Nov'22 finance meeting, + £1k virement of 2023-24 budget to reserves</t>
  </si>
  <si>
    <t>October</t>
  </si>
  <si>
    <t>Minus £320 for the annual survey monkey subs</t>
  </si>
  <si>
    <t>November</t>
  </si>
  <si>
    <t>Add line for allotment deposits</t>
  </si>
  <si>
    <t>Add line for new CIL funds 2021-24</t>
  </si>
  <si>
    <t>December</t>
  </si>
  <si>
    <t>Add £50 deposit for plot 1A</t>
  </si>
  <si>
    <t>2024-25</t>
  </si>
  <si>
    <t>January</t>
  </si>
  <si>
    <t>Minus £321 for leaflet/survey printing and website additions, see NHP CPC tab</t>
  </si>
  <si>
    <t>Minus £1,407.96 for consultancy fees and leaflet printing, see NHP Grantwork grant tab</t>
  </si>
  <si>
    <t>Add £100 for 2 allotment deposits, plots 13B &amp; 11A</t>
  </si>
  <si>
    <t>Virements approved at January's Finance meeting:</t>
  </si>
  <si>
    <t xml:space="preserve">Add total £22,972.81 virement to the Rec Ground improvement project from Bank Interest Income, Rec Ground Drainage, BMX/Pump track, Skate Park &amp; remaining Castle View Rd verge protection projects  (approved at January finance meeting) </t>
  </si>
  <si>
    <t>Status</t>
  </si>
  <si>
    <t>COMPLETED JANUARY</t>
  </si>
  <si>
    <t>COMPLETED MAY</t>
  </si>
  <si>
    <t>COMPLETED MAY, finance committee members confirmed by email option 1 ok</t>
  </si>
  <si>
    <t>Total virements</t>
  </si>
  <si>
    <t>February</t>
  </si>
  <si>
    <t>Minus £13 land Registry fee for Rec Field area title plan</t>
  </si>
  <si>
    <t>Minus £190 for handyman delivering NHP leaflets/posters around parish</t>
  </si>
  <si>
    <t>Add £50 for plot 10A allotment deposit</t>
  </si>
  <si>
    <t>March</t>
  </si>
  <si>
    <t>Minus £3 for land registry fee searches for Rec Field area title plan</t>
  </si>
  <si>
    <t>Minus £100 for handyman delivering NHP leaflets/posters around parish and collected/delivered paper surveys</t>
  </si>
  <si>
    <t>Minus £1926.50 to Andrea Pellegram, to collate responses to Reg. 14. Analyse responses and provide advice to parish council. Consideration of parish council views. Preparation of Basic Conditions Statement and Consultation Statement.</t>
  </si>
  <si>
    <t>Minus £100 for deposit refunds to 13B &amp; 10B</t>
  </si>
  <si>
    <t>April</t>
  </si>
  <si>
    <t xml:space="preserve">Minus £350 for Verti Quake on senior pitch </t>
  </si>
  <si>
    <t>Minus £108 for Traffic survey at Draycot Foliat</t>
  </si>
  <si>
    <t>Add excess £156 NHP survey costs Groundwork UK agreed to cover</t>
  </si>
  <si>
    <t>Minus excess £156 NHP survey costs Groundwork UK agreed to cover &amp; £858.54 for unused NHP grant, returned to Groundwork UK</t>
  </si>
  <si>
    <t>Add £3,555.91 net annual cemetery income (cemetery income minus cemetery cost)</t>
  </si>
  <si>
    <t>Add £10,255 remaining Muga allocated costs after CVPA goals purchase</t>
  </si>
  <si>
    <t>Minus £1,745 for new CVPA goals installation and minus £10,255 remaining funds, virement to Rec Hall Replacement</t>
  </si>
  <si>
    <t>Add £50 deposit plot 3B and add £50 linked to reconciliation with deposits held record</t>
  </si>
  <si>
    <t>Minus £300 New drawings of the Rec land purchase with precise scales and measurements</t>
  </si>
  <si>
    <t>Minus £50 for the new SID licence</t>
  </si>
  <si>
    <t>Recreation Hall Fund</t>
  </si>
  <si>
    <t>Add £12.0k transfer from 2024-25 budget (£10k for project plus £2k for further architect work on the rec hall plan)</t>
  </si>
  <si>
    <t>EGPA windows refurb</t>
  </si>
  <si>
    <t>Add £1.0k transfer from 2024-25 budget</t>
  </si>
  <si>
    <t>Add £3.5k transfer from 2024-25 budget</t>
  </si>
  <si>
    <t>Minus £966 for WP ground radar</t>
  </si>
  <si>
    <t>Add Groundwork grant for the NHP £3090, minus £1,422.90 for Andrea Pellagram July consultancy work.</t>
  </si>
  <si>
    <t>Minus £320 for annual survey monkey subs</t>
  </si>
  <si>
    <t>Minus £4,035 for new SID, delivery and installation</t>
  </si>
  <si>
    <t>Retrospective adjustments to balance to CIL report. Add £0.70 carried forward from prioir year. Minus £1,216.74 for CPC CIL funds used for the Hodson defib, purchased in Nov 2023</t>
  </si>
  <si>
    <t>270</t>
  </si>
  <si>
    <t>Interest Income</t>
  </si>
  <si>
    <t>INTEREST PAID AFTER TAX 0.00 DEDUCTED Bank Interest - Interest April</t>
  </si>
  <si>
    <t>INTEREST PAID AFTER TAX 0.00 DEDUCTED Bank Interest - Interest May</t>
  </si>
  <si>
    <t>INTEREST PAID AFTER TAX 0.00 DEDUCTED Bank Interest - Interest June</t>
  </si>
  <si>
    <t>INTEREST PAID AFTER TAX 0.00 DEDUCTED Bank Interest - Interest July</t>
  </si>
  <si>
    <t>INTEREST PAID AFTER TAX 0.00 DEDUCTED Santander - Interest July</t>
  </si>
  <si>
    <t>Bank Interest - Quarterly interest</t>
  </si>
  <si>
    <t>Overall Budget</t>
  </si>
  <si>
    <t>April 2024 to March 2025</t>
  </si>
  <si>
    <t>Income</t>
  </si>
  <si>
    <t>Finance:Precept (220)</t>
  </si>
  <si>
    <t>Charity income for hiring of Marquee (234)</t>
  </si>
  <si>
    <t>CIL recieved from SBC (348)</t>
  </si>
  <si>
    <t>EGPA - Allotment deposits (204)</t>
  </si>
  <si>
    <t>Environment: Allotments income (201)</t>
  </si>
  <si>
    <t>Environment:Cemetery income (202)</t>
  </si>
  <si>
    <t>Environment:Misc Income (203)</t>
  </si>
  <si>
    <t>Finance - Parish Chapel Room hire income (225)</t>
  </si>
  <si>
    <t>Finance - VAT reclaimed (224)</t>
  </si>
  <si>
    <t>Finance: CTSG (221)</t>
  </si>
  <si>
    <t>Finance:Misc Income (223)</t>
  </si>
  <si>
    <t>Finance:Parishing Top Up (222)</t>
  </si>
  <si>
    <t>Fund raising received for CVPA repairs/improvements (215)</t>
  </si>
  <si>
    <t>Income accounts for donations received (227)</t>
  </si>
  <si>
    <t>Income for Queen's Jubilee Event 2022 (230)</t>
  </si>
  <si>
    <t>Income to be spent on Covid19 provisions (233)</t>
  </si>
  <si>
    <t>Interest Income (270)</t>
  </si>
  <si>
    <t>Marquee Hire Admin Income (238)</t>
  </si>
  <si>
    <t>Other Revenue (260)</t>
  </si>
  <si>
    <t>Rec Hall ground hire - not pitches (216)</t>
  </si>
  <si>
    <t>Recreation: Football Pitch hire income (211)</t>
  </si>
  <si>
    <t>Recreation:Hall Hire income (210)</t>
  </si>
  <si>
    <t>Recreation:Softball pitch hire income (212)</t>
  </si>
  <si>
    <t>Recreation:Thames Water refund (213)</t>
  </si>
  <si>
    <t>Revenue from Grant fund -  income (226)</t>
  </si>
  <si>
    <t>Tennis Club Yearly rent (214)</t>
  </si>
  <si>
    <t>Total Income</t>
  </si>
  <si>
    <t>Gross Profit</t>
  </si>
  <si>
    <t>Other Income</t>
  </si>
  <si>
    <t>King's Coronation Event Income (205)</t>
  </si>
  <si>
    <t>Neighbourhood Plan Grant Income (236)</t>
  </si>
  <si>
    <t>Total Other Income</t>
  </si>
  <si>
    <t>Less Overheads</t>
  </si>
  <si>
    <t>AED Maintenance costs (516)</t>
  </si>
  <si>
    <t>Christmas Tree Elec Supply (324)</t>
  </si>
  <si>
    <t>Contractors costs - fuel, mileage etc (521)</t>
  </si>
  <si>
    <t>Councillor only expenses - mileage etc (518)</t>
  </si>
  <si>
    <t>Donation from Marquee Hire to Wiltshire Air Ambulance (235)</t>
  </si>
  <si>
    <t>EGPA - Annual gym maintenance package (371)</t>
  </si>
  <si>
    <t>EGPA - Costs of bin maintenance/replacement (368)</t>
  </si>
  <si>
    <t>EGPA - purchase of leisure equipment (370)</t>
  </si>
  <si>
    <t>EGPA - STORM costs (367)</t>
  </si>
  <si>
    <t>EGPA - Village Planter costs (364)</t>
  </si>
  <si>
    <t>EGPA Allotments - costs (365)</t>
  </si>
  <si>
    <t>EGPA Tree Trimming (372)</t>
  </si>
  <si>
    <t>EGPA: Misc Expenditure (366)</t>
  </si>
  <si>
    <t>EGPA: Probation Service (369)</t>
  </si>
  <si>
    <t>Environment - Water Supply (363)</t>
  </si>
  <si>
    <t>Environment: Building Maintenance (354)</t>
  </si>
  <si>
    <t>Environment: Cemetery Maintenance (357)</t>
  </si>
  <si>
    <t>Environment: Cleaning (356)</t>
  </si>
  <si>
    <t>Environment: Dog and Litter bins (352)</t>
  </si>
  <si>
    <t>Environment: Fly tipping (362)</t>
  </si>
  <si>
    <t>Environment: Gas and Electricity - Chapel (353)</t>
  </si>
  <si>
    <t>Environment: General Maintenance (360)</t>
  </si>
  <si>
    <t>Environment: Handyman Equipment Hire (373)</t>
  </si>
  <si>
    <t>Environment: Hedge Trimming and Grass cutting (351)</t>
  </si>
  <si>
    <t>Environment: Insurance (359)</t>
  </si>
  <si>
    <t>Environment: Signage (358)</t>
  </si>
  <si>
    <t>Environment: WARP (350)</t>
  </si>
  <si>
    <t>Environment: Waste Disposal (355)</t>
  </si>
  <si>
    <t>Environment:Litter Picking (361)</t>
  </si>
  <si>
    <t>Expenditure from funds given as donations for events (231)</t>
  </si>
  <si>
    <t>Expenditure of Parish Council grant fund (228)</t>
  </si>
  <si>
    <t>Expenditure of SSE &amp; other Covid19 grant funds (232)</t>
  </si>
  <si>
    <t>Finance - Costs for temp/agency staff (519)</t>
  </si>
  <si>
    <t>Finance expenditure of grant funds held for Football club (515)</t>
  </si>
  <si>
    <t>Finance: Charitable Donations to other organisations (510)</t>
  </si>
  <si>
    <t>Finance: Courses and Training (501)</t>
  </si>
  <si>
    <t>Finance: Entertaining (506)</t>
  </si>
  <si>
    <t>Finance: General Legal Fees (523)</t>
  </si>
  <si>
    <t>Finance: IT - PC, virus, email, domain name &amp; Xero (512)</t>
  </si>
  <si>
    <t>Finance: Misc expenses (costs) (502)</t>
  </si>
  <si>
    <t>Finance: Other (513)</t>
  </si>
  <si>
    <t>Finance: Professional Fees (511)</t>
  </si>
  <si>
    <t>Finance: Staff only expenses (509)</t>
  </si>
  <si>
    <t>Finance: Staff salary only (507)</t>
  </si>
  <si>
    <t>Finance: Stationery (505)</t>
  </si>
  <si>
    <t>Finance: Telephone and Broadband (504)</t>
  </si>
  <si>
    <t>Finance: Website, Marketing, flyers &amp; leaflets, advertisements (508)</t>
  </si>
  <si>
    <t>Grant Expenditure from Memory Cafe Grant (520)</t>
  </si>
  <si>
    <t>Insurance costs to Finance Committee (517)</t>
  </si>
  <si>
    <t>Kings Coronation Event 2023 (237)</t>
  </si>
  <si>
    <t>Marquee Hire Admin Charge (239)</t>
  </si>
  <si>
    <t>Memberships and Subscriptions (522)</t>
  </si>
  <si>
    <t>NOT IN USE Finance: Gas and Electricity (503)</t>
  </si>
  <si>
    <t>Pensions Costs (482)</t>
  </si>
  <si>
    <t>Planning - Misc Costs (349)</t>
  </si>
  <si>
    <t>Planning. SIDS signage expenditure. (342)</t>
  </si>
  <si>
    <t>Planning: Neighbourhood Plan CPC Funds (345)</t>
  </si>
  <si>
    <t>Planning: Neighbourhood Plan Grant Expenditure (341)</t>
  </si>
  <si>
    <t>Planning: Parking &amp; Traffic solutions (340)</t>
  </si>
  <si>
    <t>Planning: Planning and Legal Consultants Expenditure (344)</t>
  </si>
  <si>
    <t>Planning: Solar Lighting (343)</t>
  </si>
  <si>
    <t>Queen's Jubilee Expenditure 2022 (229)</t>
  </si>
  <si>
    <t>Rec Ground Improvement (450)</t>
  </si>
  <si>
    <t>Recreation - CVPA inspections (338)</t>
  </si>
  <si>
    <t>Recreation - CVPA Repair costs (337)</t>
  </si>
  <si>
    <t>Recreation - Purchases of new CVPA equipment (339)</t>
  </si>
  <si>
    <t>Recreation - Tennis Club/Courts costs (336)</t>
  </si>
  <si>
    <t>Recreation: Building Maintenance (326)</t>
  </si>
  <si>
    <t>Recreation: Cleaning (332)</t>
  </si>
  <si>
    <t>Recreation: CVPA general Maintenance (331)</t>
  </si>
  <si>
    <t>Recreation: Gas and Electricity - Rec Hall &amp; Pavillion (333)</t>
  </si>
  <si>
    <t>Recreation: Grounds Maintenance (330)</t>
  </si>
  <si>
    <t>Recreation: Leases and Rent (327)</t>
  </si>
  <si>
    <t>Recreation: Rates and Taxes (328)</t>
  </si>
  <si>
    <t>Recreation: Waste Collection (329)</t>
  </si>
  <si>
    <t>Recreation: Water (334)</t>
  </si>
  <si>
    <t>Recreation: Youth services (335)</t>
  </si>
  <si>
    <t>Staff Pension payments (514)</t>
  </si>
  <si>
    <t>Total Overheads</t>
  </si>
  <si>
    <t>Total Expenses</t>
  </si>
  <si>
    <t>Net Profit</t>
  </si>
  <si>
    <t>Invoices over £500 or annual contracts over £5,000 per year</t>
  </si>
  <si>
    <t>Committee</t>
  </si>
  <si>
    <t>Beneficiary</t>
  </si>
  <si>
    <t>ü</t>
  </si>
  <si>
    <t>Finance</t>
  </si>
  <si>
    <t>Staff</t>
  </si>
  <si>
    <t>HMRC</t>
  </si>
  <si>
    <t>EGPA</t>
  </si>
  <si>
    <t>Allbuild</t>
  </si>
  <si>
    <t>Planning</t>
  </si>
  <si>
    <t>Handyman</t>
  </si>
  <si>
    <t>Andrea Pellegram Ltd</t>
  </si>
  <si>
    <t>Andrea Pellegram Ltd. Five hours support to Chiseldon Parish Council in response to Hannick Homes Planning Application</t>
  </si>
  <si>
    <t>EDF Rec hall monthly elec DD</t>
  </si>
  <si>
    <t>Minus £650 to Verti Quake whole field</t>
  </si>
  <si>
    <t>Minus £50 to move SID solar panel</t>
  </si>
  <si>
    <t>Minus £1,700 - Finance Committee approved transfer to unallocated reserves</t>
  </si>
  <si>
    <t>Add £320 survey monkey costs, not in this years grant funds</t>
  </si>
  <si>
    <t>Planning: Planning and Legal Consultants Expenditure</t>
  </si>
  <si>
    <t>344</t>
  </si>
  <si>
    <t>509</t>
  </si>
  <si>
    <t>Finance: Staff only expenses</t>
  </si>
  <si>
    <t>RFO Nov Expenses. Mileage to WALC conference and return. SN4 0NG to SN10 1BZ.</t>
  </si>
  <si>
    <t>RFO Nov Expenses. All day parking charge for WALC conference</t>
  </si>
  <si>
    <t>For the period 1 November 2024 to 30 November 2024</t>
  </si>
  <si>
    <t>Chiseldon Parish Council. Re-approved at the extra Full Council Meeting on 25th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</si>
</sst>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  <numFmt numFmtId="169" formatCode="mmm\-yyyy"/>
  </numFmts>
  <fonts count="18" x14ac:knownFonts="1">
    <font>
      <sz val="9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9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0" fillId="2" borderId="0" xfId="0" applyFill="1"/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167" fontId="0" fillId="0" borderId="0" xfId="0" applyNumberFormat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8" fontId="12" fillId="0" borderId="0" xfId="0" applyNumberFormat="1" applyFont="1" applyAlignment="1">
      <alignment vertical="center"/>
    </xf>
    <xf numFmtId="0" fontId="12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right" vertical="center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3" fillId="0" borderId="0" xfId="0" applyFon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/>
    <xf numFmtId="8" fontId="13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7" fillId="0" borderId="0" xfId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Alignment="1">
      <alignment horizontal="center" vertical="center"/>
    </xf>
    <xf numFmtId="0" fontId="15" fillId="0" borderId="0" xfId="1" applyFont="1" applyAlignment="1">
      <alignment vertical="top" wrapText="1"/>
    </xf>
    <xf numFmtId="0" fontId="7" fillId="0" borderId="0" xfId="1"/>
    <xf numFmtId="0" fontId="7" fillId="0" borderId="0" xfId="1" applyAlignment="1">
      <alignment horizontal="right" vertical="center"/>
    </xf>
    <xf numFmtId="0" fontId="7" fillId="0" borderId="0" xfId="1" applyAlignment="1">
      <alignment vertical="center" wrapText="1"/>
    </xf>
    <xf numFmtId="8" fontId="7" fillId="0" borderId="0" xfId="1" applyNumberForma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/>
    <xf numFmtId="0" fontId="7" fillId="0" borderId="0" xfId="1" applyAlignment="1">
      <alignment horizontal="left" vertical="center"/>
    </xf>
    <xf numFmtId="8" fontId="12" fillId="0" borderId="0" xfId="1" applyNumberFormat="1" applyFont="1" applyAlignment="1">
      <alignment vertical="center"/>
    </xf>
    <xf numFmtId="0" fontId="7" fillId="0" borderId="0" xfId="1" applyAlignment="1">
      <alignment horizontal="center"/>
    </xf>
    <xf numFmtId="0" fontId="12" fillId="0" borderId="0" xfId="1" applyFont="1"/>
    <xf numFmtId="0" fontId="9" fillId="0" borderId="0" xfId="1" applyFont="1" applyAlignment="1">
      <alignment horizontal="left" vertical="center"/>
    </xf>
    <xf numFmtId="8" fontId="11" fillId="0" borderId="0" xfId="1" applyNumberFormat="1" applyFont="1" applyAlignment="1">
      <alignment horizontal="center" vertical="center"/>
    </xf>
    <xf numFmtId="8" fontId="14" fillId="0" borderId="0" xfId="1" applyNumberFormat="1" applyFont="1" applyAlignment="1">
      <alignment horizontal="center" vertical="center"/>
    </xf>
    <xf numFmtId="0" fontId="7" fillId="0" borderId="0" xfId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165" fontId="0" fillId="9" borderId="2" xfId="0" applyNumberFormat="1" applyFill="1" applyBorder="1" applyAlignment="1">
      <alignment horizontal="right" vertical="center"/>
    </xf>
    <xf numFmtId="165" fontId="0" fillId="3" borderId="2" xfId="0" applyNumberFormat="1" applyFill="1" applyBorder="1" applyAlignment="1">
      <alignment horizontal="right" vertical="center"/>
    </xf>
    <xf numFmtId="165" fontId="7" fillId="2" borderId="0" xfId="1" applyNumberFormat="1" applyFill="1"/>
    <xf numFmtId="168" fontId="10" fillId="0" borderId="0" xfId="1" applyNumberFormat="1" applyFont="1" applyAlignment="1">
      <alignment vertical="center"/>
    </xf>
    <xf numFmtId="169" fontId="10" fillId="0" borderId="0" xfId="1" applyNumberFormat="1" applyFont="1" applyAlignment="1">
      <alignment horizontal="left" vertical="center"/>
    </xf>
    <xf numFmtId="168" fontId="14" fillId="0" borderId="0" xfId="1" applyNumberFormat="1" applyFont="1" applyAlignment="1">
      <alignment vertical="center"/>
    </xf>
    <xf numFmtId="168" fontId="11" fillId="0" borderId="0" xfId="1" applyNumberFormat="1" applyFont="1" applyAlignment="1">
      <alignment vertical="center"/>
    </xf>
    <xf numFmtId="0" fontId="14" fillId="0" borderId="3" xfId="1" applyFont="1" applyBorder="1" applyAlignment="1">
      <alignment vertical="center"/>
    </xf>
    <xf numFmtId="168" fontId="14" fillId="0" borderId="3" xfId="1" applyNumberFormat="1" applyFont="1" applyBorder="1" applyAlignment="1">
      <alignment vertical="center"/>
    </xf>
    <xf numFmtId="168" fontId="14" fillId="3" borderId="3" xfId="1" applyNumberFormat="1" applyFont="1" applyFill="1" applyBorder="1" applyAlignment="1">
      <alignment vertical="center"/>
    </xf>
    <xf numFmtId="0" fontId="14" fillId="0" borderId="4" xfId="1" applyFont="1" applyBorder="1" applyAlignment="1">
      <alignment vertical="center"/>
    </xf>
    <xf numFmtId="168" fontId="14" fillId="0" borderId="4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0" borderId="2" xfId="0" quotePrefix="1" applyBorder="1" applyAlignment="1">
      <alignment vertical="center"/>
    </xf>
    <xf numFmtId="168" fontId="16" fillId="0" borderId="0" xfId="1" applyNumberFormat="1" applyFont="1" applyAlignment="1">
      <alignment horizontal="center" vertical="center"/>
    </xf>
    <xf numFmtId="168" fontId="10" fillId="0" borderId="0" xfId="1" applyNumberFormat="1" applyFont="1" applyAlignment="1">
      <alignment horizontal="center" vertical="center"/>
    </xf>
  </cellXfs>
  <cellStyles count="2">
    <cellStyle name="Normal" xfId="0" builtinId="0" customBuiltin="1"/>
    <cellStyle name="Normal 2" xfId="1" xr:uid="{3700602F-7DE7-4516-809B-8F936410C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678180</xdr:colOff>
      <xdr:row>31</xdr:row>
      <xdr:rowOff>0</xdr:rowOff>
    </xdr:from>
    <xdr:to>
      <xdr:col>9</xdr:col>
      <xdr:colOff>8136</xdr:colOff>
      <xdr:row>45</xdr:row>
      <xdr:rowOff>76382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A8CE61-3011-4975-A659-B0D09D389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450080"/>
          <a:ext cx="5959356" cy="21033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showGridLines="0" tabSelected="1" zoomScaleNormal="100" workbookViewId="0">
      <selection activeCell="A3" sqref="A3"/>
    </sheetView>
  </sheetViews>
  <sheetFormatPr defaultRowHeight="11.4" x14ac:dyDescent="0.2"/>
  <cols>
    <col min="1" max="1" width="4.125" customWidth="1"/>
    <col min="2" max="2" width="34.375" customWidth="1"/>
    <col min="3" max="3" width="11.5" customWidth="1"/>
    <col min="4" max="4" width="83.5" customWidth="1"/>
    <col min="5" max="7" width="9.5" customWidth="1"/>
    <col min="8" max="8" width="9.125" customWidth="1"/>
    <col min="9" max="9" width="19.25" customWidth="1"/>
    <col min="10" max="10" width="12.75" customWidth="1"/>
    <col min="11" max="11" width="18.25" customWidth="1"/>
    <col min="12" max="13" width="13.75" customWidth="1"/>
  </cols>
  <sheetData>
    <row r="1" spans="1:13" s="1" customFormat="1" ht="16.649999999999999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4" customHeight="1" x14ac:dyDescent="0.25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</row>
    <row r="3" spans="1:13" s="3" customFormat="1" ht="14.4" customHeight="1" x14ac:dyDescent="0.25">
      <c r="A3" s="4" t="s">
        <v>437</v>
      </c>
      <c r="B3" s="4"/>
      <c r="C3" s="4"/>
      <c r="D3" s="4"/>
      <c r="E3" s="4"/>
      <c r="F3" s="4"/>
      <c r="G3" s="4"/>
      <c r="H3" s="4"/>
      <c r="I3" s="4"/>
      <c r="J3" s="4"/>
    </row>
    <row r="4" spans="1:13" ht="13.35" customHeight="1" x14ac:dyDescent="0.2"/>
    <row r="5" spans="1:13" s="5" customFormat="1" ht="52.8" x14ac:dyDescent="0.25">
      <c r="A5" s="6" t="s">
        <v>2</v>
      </c>
      <c r="B5" s="6" t="s">
        <v>3</v>
      </c>
      <c r="C5" s="6" t="s">
        <v>4</v>
      </c>
      <c r="D5" s="6" t="s">
        <v>6</v>
      </c>
      <c r="E5" s="7" t="s">
        <v>7</v>
      </c>
      <c r="F5" s="7" t="s">
        <v>8</v>
      </c>
      <c r="G5" s="7" t="s">
        <v>9</v>
      </c>
      <c r="H5" s="18" t="s">
        <v>10</v>
      </c>
      <c r="I5" s="6" t="s">
        <v>11</v>
      </c>
      <c r="J5" s="18" t="s">
        <v>12</v>
      </c>
      <c r="K5" s="86" t="s">
        <v>413</v>
      </c>
      <c r="L5" s="88" t="s">
        <v>414</v>
      </c>
      <c r="M5" s="88" t="s">
        <v>415</v>
      </c>
    </row>
    <row r="6" spans="1:13" ht="10.95" customHeight="1" x14ac:dyDescent="0.2">
      <c r="A6" s="8" t="s">
        <v>13</v>
      </c>
      <c r="B6" s="8" t="s">
        <v>14</v>
      </c>
      <c r="C6" s="9">
        <v>45597</v>
      </c>
      <c r="D6" s="49" t="s">
        <v>105</v>
      </c>
      <c r="E6" s="10">
        <v>-27.14</v>
      </c>
      <c r="F6" s="10">
        <v>0</v>
      </c>
      <c r="G6" s="10">
        <v>-27.14</v>
      </c>
      <c r="H6" s="11">
        <v>0</v>
      </c>
      <c r="I6" s="8" t="s">
        <v>15</v>
      </c>
      <c r="J6" s="8"/>
      <c r="K6" s="87"/>
      <c r="M6" s="43"/>
    </row>
    <row r="7" spans="1:13" ht="10.95" customHeight="1" x14ac:dyDescent="0.2">
      <c r="A7" s="12" t="s">
        <v>13</v>
      </c>
      <c r="B7" s="12" t="s">
        <v>14</v>
      </c>
      <c r="C7" s="13">
        <v>45597</v>
      </c>
      <c r="D7" s="50" t="s">
        <v>106</v>
      </c>
      <c r="E7" s="14">
        <v>-207.09</v>
      </c>
      <c r="F7" s="14">
        <v>0</v>
      </c>
      <c r="G7" s="14">
        <v>-207.09</v>
      </c>
      <c r="H7" s="15">
        <v>0</v>
      </c>
      <c r="I7" s="12" t="s">
        <v>15</v>
      </c>
      <c r="J7" s="12"/>
      <c r="K7" s="87"/>
    </row>
    <row r="8" spans="1:13" ht="10.95" customHeight="1" x14ac:dyDescent="0.2">
      <c r="A8" s="12" t="s">
        <v>13</v>
      </c>
      <c r="B8" s="12" t="s">
        <v>14</v>
      </c>
      <c r="C8" s="13">
        <v>45597</v>
      </c>
      <c r="D8" s="50" t="s">
        <v>107</v>
      </c>
      <c r="E8" s="14">
        <v>-239.53</v>
      </c>
      <c r="F8" s="14">
        <v>0</v>
      </c>
      <c r="G8" s="14">
        <v>-239.53</v>
      </c>
      <c r="H8" s="15">
        <v>0</v>
      </c>
      <c r="I8" s="12" t="s">
        <v>15</v>
      </c>
      <c r="J8" s="12"/>
      <c r="K8" s="87"/>
    </row>
    <row r="9" spans="1:13" ht="10.95" customHeight="1" x14ac:dyDescent="0.2">
      <c r="A9" s="12" t="s">
        <v>13</v>
      </c>
      <c r="B9" s="12" t="s">
        <v>14</v>
      </c>
      <c r="C9" s="13">
        <v>45597</v>
      </c>
      <c r="D9" s="50" t="s">
        <v>108</v>
      </c>
      <c r="E9" s="14">
        <v>-10.26</v>
      </c>
      <c r="F9" s="14">
        <v>0</v>
      </c>
      <c r="G9" s="14">
        <v>-10.26</v>
      </c>
      <c r="H9" s="15">
        <v>0</v>
      </c>
      <c r="I9" s="12" t="s">
        <v>15</v>
      </c>
      <c r="J9" s="12"/>
      <c r="K9" s="87"/>
    </row>
    <row r="10" spans="1:13" ht="10.8" customHeight="1" x14ac:dyDescent="0.2">
      <c r="A10" s="12" t="s">
        <v>13</v>
      </c>
      <c r="B10" s="12" t="s">
        <v>14</v>
      </c>
      <c r="C10" s="13">
        <v>45597</v>
      </c>
      <c r="D10" s="51" t="s">
        <v>109</v>
      </c>
      <c r="E10" s="14">
        <v>-565.71</v>
      </c>
      <c r="F10" s="14">
        <v>0</v>
      </c>
      <c r="G10" s="14">
        <v>-565.71</v>
      </c>
      <c r="H10" s="15">
        <v>0</v>
      </c>
      <c r="I10" s="12" t="s">
        <v>15</v>
      </c>
      <c r="J10" s="12"/>
      <c r="K10" s="87"/>
    </row>
    <row r="11" spans="1:13" ht="10.95" customHeight="1" x14ac:dyDescent="0.2">
      <c r="A11" s="12" t="s">
        <v>13</v>
      </c>
      <c r="B11" s="12" t="s">
        <v>14</v>
      </c>
      <c r="C11" s="13">
        <v>45597</v>
      </c>
      <c r="D11" s="50" t="s">
        <v>110</v>
      </c>
      <c r="E11" s="14">
        <v>-362.26</v>
      </c>
      <c r="F11" s="14">
        <v>0</v>
      </c>
      <c r="G11" s="14">
        <v>-362.26</v>
      </c>
      <c r="H11" s="15">
        <v>0</v>
      </c>
      <c r="I11" s="12" t="s">
        <v>15</v>
      </c>
      <c r="J11" s="12"/>
      <c r="K11" s="87"/>
    </row>
    <row r="12" spans="1:13" ht="10.95" customHeight="1" x14ac:dyDescent="0.2">
      <c r="A12" s="12" t="s">
        <v>13</v>
      </c>
      <c r="B12" s="12" t="s">
        <v>14</v>
      </c>
      <c r="C12" s="13">
        <v>45597</v>
      </c>
      <c r="D12" s="50" t="s">
        <v>111</v>
      </c>
      <c r="E12" s="14">
        <v>-20</v>
      </c>
      <c r="F12" s="14">
        <v>0</v>
      </c>
      <c r="G12" s="14">
        <v>-20</v>
      </c>
      <c r="H12" s="15">
        <v>0</v>
      </c>
      <c r="I12" s="12" t="s">
        <v>15</v>
      </c>
      <c r="J12" s="12"/>
      <c r="K12" s="87"/>
    </row>
    <row r="13" spans="1:13" ht="10.95" customHeight="1" x14ac:dyDescent="0.2">
      <c r="A13" s="12" t="s">
        <v>16</v>
      </c>
      <c r="B13" s="12" t="s">
        <v>17</v>
      </c>
      <c r="C13" s="13">
        <v>45604</v>
      </c>
      <c r="D13" s="12" t="s">
        <v>18</v>
      </c>
      <c r="E13" s="14">
        <v>11.36</v>
      </c>
      <c r="F13" s="14">
        <v>0.54</v>
      </c>
      <c r="G13" s="14">
        <v>10.82</v>
      </c>
      <c r="H13" s="15">
        <v>5</v>
      </c>
      <c r="I13" s="12" t="s">
        <v>19</v>
      </c>
      <c r="J13" s="12"/>
      <c r="K13" s="87"/>
    </row>
    <row r="14" spans="1:13" ht="10.95" customHeight="1" x14ac:dyDescent="0.2">
      <c r="A14" s="12" t="s">
        <v>20</v>
      </c>
      <c r="B14" s="12" t="s">
        <v>21</v>
      </c>
      <c r="C14" s="13">
        <v>45604</v>
      </c>
      <c r="D14" s="12" t="s">
        <v>112</v>
      </c>
      <c r="E14" s="14">
        <v>1.44</v>
      </c>
      <c r="F14" s="14">
        <v>0.24</v>
      </c>
      <c r="G14" s="14">
        <v>1.2</v>
      </c>
      <c r="H14" s="15">
        <v>20</v>
      </c>
      <c r="I14" s="12" t="s">
        <v>22</v>
      </c>
      <c r="J14" s="12"/>
      <c r="K14" s="87"/>
    </row>
    <row r="15" spans="1:13" ht="10.95" customHeight="1" x14ac:dyDescent="0.2">
      <c r="A15" s="12" t="s">
        <v>20</v>
      </c>
      <c r="B15" s="12" t="s">
        <v>21</v>
      </c>
      <c r="C15" s="13">
        <v>45604</v>
      </c>
      <c r="D15" s="12" t="s">
        <v>113</v>
      </c>
      <c r="E15" s="14">
        <v>1.52</v>
      </c>
      <c r="F15" s="14">
        <v>0.25</v>
      </c>
      <c r="G15" s="14">
        <v>1.27</v>
      </c>
      <c r="H15" s="15">
        <v>20</v>
      </c>
      <c r="I15" s="12" t="s">
        <v>22</v>
      </c>
      <c r="J15" s="12"/>
      <c r="K15" s="87"/>
    </row>
    <row r="16" spans="1:13" ht="10.95" customHeight="1" x14ac:dyDescent="0.2">
      <c r="A16" s="12" t="s">
        <v>23</v>
      </c>
      <c r="B16" s="12" t="s">
        <v>24</v>
      </c>
      <c r="C16" s="13">
        <v>45604</v>
      </c>
      <c r="D16" s="50" t="s">
        <v>25</v>
      </c>
      <c r="E16" s="14">
        <v>-18</v>
      </c>
      <c r="F16" s="14">
        <v>-3</v>
      </c>
      <c r="G16" s="14">
        <v>-15</v>
      </c>
      <c r="H16" s="15">
        <v>20</v>
      </c>
      <c r="I16" s="12" t="s">
        <v>26</v>
      </c>
      <c r="J16" s="12"/>
      <c r="K16" s="87"/>
    </row>
    <row r="17" spans="1:13" ht="10.95" customHeight="1" x14ac:dyDescent="0.2">
      <c r="A17" s="12" t="s">
        <v>27</v>
      </c>
      <c r="B17" s="12" t="s">
        <v>28</v>
      </c>
      <c r="C17" s="13">
        <v>45609</v>
      </c>
      <c r="D17" s="50" t="s">
        <v>29</v>
      </c>
      <c r="E17" s="14">
        <v>-520.20000000000005</v>
      </c>
      <c r="F17" s="14">
        <v>0</v>
      </c>
      <c r="G17" s="14">
        <v>-520.20000000000005</v>
      </c>
      <c r="H17" s="15">
        <v>0</v>
      </c>
      <c r="I17" s="12" t="s">
        <v>30</v>
      </c>
      <c r="J17" s="12"/>
      <c r="K17" s="87"/>
    </row>
    <row r="18" spans="1:13" ht="10.95" customHeight="1" x14ac:dyDescent="0.2">
      <c r="A18" s="12" t="s">
        <v>31</v>
      </c>
      <c r="B18" s="12" t="s">
        <v>32</v>
      </c>
      <c r="C18" s="13">
        <v>45610</v>
      </c>
      <c r="D18" s="12" t="s">
        <v>114</v>
      </c>
      <c r="E18" s="14">
        <v>93.9</v>
      </c>
      <c r="F18" s="14">
        <v>15.65</v>
      </c>
      <c r="G18" s="14">
        <v>78.25</v>
      </c>
      <c r="H18" s="15">
        <v>20</v>
      </c>
      <c r="I18" s="12" t="s">
        <v>22</v>
      </c>
      <c r="J18" s="12"/>
      <c r="K18" s="87"/>
    </row>
    <row r="19" spans="1:13" ht="10.95" customHeight="1" x14ac:dyDescent="0.2">
      <c r="A19" s="12" t="s">
        <v>33</v>
      </c>
      <c r="B19" s="12" t="s">
        <v>34</v>
      </c>
      <c r="C19" s="13">
        <v>45610</v>
      </c>
      <c r="D19" s="12" t="s">
        <v>115</v>
      </c>
      <c r="E19" s="14">
        <v>150</v>
      </c>
      <c r="F19" s="14">
        <v>0</v>
      </c>
      <c r="G19" s="14">
        <v>150</v>
      </c>
      <c r="H19" s="15">
        <v>0</v>
      </c>
      <c r="I19" s="12" t="s">
        <v>15</v>
      </c>
      <c r="J19" s="12"/>
      <c r="K19" s="87" t="s">
        <v>416</v>
      </c>
      <c r="L19" t="s">
        <v>420</v>
      </c>
      <c r="M19" t="s">
        <v>423</v>
      </c>
    </row>
    <row r="20" spans="1:13" ht="10.95" customHeight="1" x14ac:dyDescent="0.2">
      <c r="A20" s="12" t="s">
        <v>35</v>
      </c>
      <c r="B20" s="12" t="s">
        <v>36</v>
      </c>
      <c r="C20" s="13">
        <v>45610</v>
      </c>
      <c r="D20" s="12" t="s">
        <v>116</v>
      </c>
      <c r="E20" s="14">
        <v>20</v>
      </c>
      <c r="F20" s="14">
        <v>0</v>
      </c>
      <c r="G20" s="14">
        <v>20</v>
      </c>
      <c r="H20" s="15">
        <v>0</v>
      </c>
      <c r="I20" s="12" t="s">
        <v>15</v>
      </c>
      <c r="J20" s="12"/>
      <c r="K20" s="87" t="s">
        <v>416</v>
      </c>
      <c r="L20" t="s">
        <v>420</v>
      </c>
      <c r="M20" t="s">
        <v>423</v>
      </c>
    </row>
    <row r="21" spans="1:13" ht="10.95" customHeight="1" x14ac:dyDescent="0.2">
      <c r="A21" s="12" t="s">
        <v>37</v>
      </c>
      <c r="B21" s="12" t="s">
        <v>38</v>
      </c>
      <c r="C21" s="13">
        <v>45610</v>
      </c>
      <c r="D21" s="12" t="s">
        <v>117</v>
      </c>
      <c r="E21" s="14">
        <v>320</v>
      </c>
      <c r="F21" s="14">
        <v>0</v>
      </c>
      <c r="G21" s="14">
        <v>320</v>
      </c>
      <c r="H21" s="15">
        <v>0</v>
      </c>
      <c r="I21" s="12" t="s">
        <v>15</v>
      </c>
      <c r="J21" s="12"/>
      <c r="K21" s="87" t="s">
        <v>416</v>
      </c>
      <c r="L21" t="s">
        <v>420</v>
      </c>
      <c r="M21" t="s">
        <v>423</v>
      </c>
    </row>
    <row r="22" spans="1:13" ht="10.95" customHeight="1" x14ac:dyDescent="0.2">
      <c r="A22" s="12" t="s">
        <v>37</v>
      </c>
      <c r="B22" s="12" t="s">
        <v>38</v>
      </c>
      <c r="C22" s="13">
        <v>45610</v>
      </c>
      <c r="D22" s="12" t="s">
        <v>118</v>
      </c>
      <c r="E22" s="14">
        <v>184.05</v>
      </c>
      <c r="F22" s="14">
        <v>0</v>
      </c>
      <c r="G22" s="14">
        <v>184.05</v>
      </c>
      <c r="H22" s="15">
        <v>0</v>
      </c>
      <c r="I22" s="12" t="s">
        <v>15</v>
      </c>
      <c r="J22" s="12"/>
      <c r="K22" s="87" t="s">
        <v>416</v>
      </c>
      <c r="L22" t="s">
        <v>420</v>
      </c>
      <c r="M22" t="s">
        <v>423</v>
      </c>
    </row>
    <row r="23" spans="1:13" ht="10.95" customHeight="1" x14ac:dyDescent="0.2">
      <c r="A23" s="12" t="s">
        <v>39</v>
      </c>
      <c r="B23" s="12" t="s">
        <v>40</v>
      </c>
      <c r="C23" s="13">
        <v>45610</v>
      </c>
      <c r="D23" s="50" t="s">
        <v>211</v>
      </c>
      <c r="E23" s="14">
        <v>-120</v>
      </c>
      <c r="F23" s="14">
        <v>0</v>
      </c>
      <c r="G23" s="14">
        <v>-120</v>
      </c>
      <c r="H23" s="15">
        <v>0</v>
      </c>
      <c r="I23" s="12" t="s">
        <v>15</v>
      </c>
      <c r="J23" s="12"/>
      <c r="K23" s="87"/>
    </row>
    <row r="24" spans="1:13" ht="10.95" customHeight="1" x14ac:dyDescent="0.2">
      <c r="A24" s="12" t="s">
        <v>39</v>
      </c>
      <c r="B24" s="12" t="s">
        <v>40</v>
      </c>
      <c r="C24" s="13">
        <v>45610</v>
      </c>
      <c r="D24" s="50" t="s">
        <v>212</v>
      </c>
      <c r="E24" s="14">
        <v>-64</v>
      </c>
      <c r="F24" s="14">
        <v>0</v>
      </c>
      <c r="G24" s="14">
        <v>-64</v>
      </c>
      <c r="H24" s="15">
        <v>0</v>
      </c>
      <c r="I24" s="12" t="s">
        <v>15</v>
      </c>
      <c r="J24" s="12"/>
      <c r="K24" s="87"/>
    </row>
    <row r="25" spans="1:13" ht="10.95" customHeight="1" x14ac:dyDescent="0.2">
      <c r="A25" s="12" t="s">
        <v>41</v>
      </c>
      <c r="B25" s="12" t="s">
        <v>42</v>
      </c>
      <c r="C25" s="13">
        <v>45610</v>
      </c>
      <c r="D25" s="12" t="s">
        <v>119</v>
      </c>
      <c r="E25" s="14">
        <v>220</v>
      </c>
      <c r="F25" s="14">
        <v>0</v>
      </c>
      <c r="G25" s="14">
        <v>220</v>
      </c>
      <c r="H25" s="15">
        <v>0</v>
      </c>
      <c r="I25" s="12" t="s">
        <v>15</v>
      </c>
      <c r="J25" s="12"/>
      <c r="K25" s="87" t="s">
        <v>416</v>
      </c>
      <c r="L25" t="s">
        <v>420</v>
      </c>
      <c r="M25" t="s">
        <v>423</v>
      </c>
    </row>
    <row r="26" spans="1:13" ht="10.95" customHeight="1" x14ac:dyDescent="0.2">
      <c r="A26" s="12" t="s">
        <v>41</v>
      </c>
      <c r="B26" s="12" t="s">
        <v>42</v>
      </c>
      <c r="C26" s="13">
        <v>45610</v>
      </c>
      <c r="D26" s="12" t="s">
        <v>120</v>
      </c>
      <c r="E26" s="14">
        <v>64.650000000000006</v>
      </c>
      <c r="F26" s="14">
        <v>0</v>
      </c>
      <c r="G26" s="14">
        <v>64.650000000000006</v>
      </c>
      <c r="H26" s="15">
        <v>0</v>
      </c>
      <c r="I26" s="12" t="s">
        <v>15</v>
      </c>
      <c r="J26" s="12"/>
      <c r="K26" s="87" t="s">
        <v>416</v>
      </c>
      <c r="L26" t="s">
        <v>420</v>
      </c>
      <c r="M26" t="s">
        <v>423</v>
      </c>
    </row>
    <row r="27" spans="1:13" ht="10.95" customHeight="1" x14ac:dyDescent="0.2">
      <c r="A27" s="12" t="s">
        <v>43</v>
      </c>
      <c r="B27" s="12" t="s">
        <v>44</v>
      </c>
      <c r="C27" s="13">
        <v>45610</v>
      </c>
      <c r="D27" s="12" t="s">
        <v>121</v>
      </c>
      <c r="E27" s="14">
        <v>80</v>
      </c>
      <c r="F27" s="14">
        <v>0</v>
      </c>
      <c r="G27" s="14">
        <v>80</v>
      </c>
      <c r="H27" s="15">
        <v>0</v>
      </c>
      <c r="I27" s="12" t="s">
        <v>15</v>
      </c>
      <c r="J27" s="12"/>
      <c r="K27" s="87" t="s">
        <v>416</v>
      </c>
      <c r="L27" t="s">
        <v>420</v>
      </c>
      <c r="M27" t="s">
        <v>423</v>
      </c>
    </row>
    <row r="28" spans="1:13" ht="10.95" customHeight="1" x14ac:dyDescent="0.2">
      <c r="A28" s="12" t="s">
        <v>45</v>
      </c>
      <c r="B28" s="12" t="s">
        <v>46</v>
      </c>
      <c r="C28" s="13">
        <v>45610</v>
      </c>
      <c r="D28" s="12" t="s">
        <v>122</v>
      </c>
      <c r="E28" s="14">
        <v>40</v>
      </c>
      <c r="F28" s="14">
        <v>0</v>
      </c>
      <c r="G28" s="14">
        <v>40</v>
      </c>
      <c r="H28" s="15">
        <v>0</v>
      </c>
      <c r="I28" s="12" t="s">
        <v>15</v>
      </c>
      <c r="J28" s="12"/>
      <c r="K28" s="87" t="s">
        <v>416</v>
      </c>
      <c r="L28" t="s">
        <v>420</v>
      </c>
      <c r="M28" t="s">
        <v>423</v>
      </c>
    </row>
    <row r="29" spans="1:13" ht="10.95" customHeight="1" x14ac:dyDescent="0.2">
      <c r="A29" s="12" t="s">
        <v>47</v>
      </c>
      <c r="B29" s="12" t="s">
        <v>48</v>
      </c>
      <c r="C29" s="13">
        <v>45610</v>
      </c>
      <c r="D29" s="12" t="s">
        <v>123</v>
      </c>
      <c r="E29" s="14">
        <v>30</v>
      </c>
      <c r="F29" s="14">
        <v>0</v>
      </c>
      <c r="G29" s="14">
        <v>30</v>
      </c>
      <c r="H29" s="15">
        <v>0</v>
      </c>
      <c r="I29" s="12" t="s">
        <v>15</v>
      </c>
      <c r="J29" s="12"/>
      <c r="K29" s="87" t="s">
        <v>416</v>
      </c>
      <c r="L29" t="s">
        <v>420</v>
      </c>
      <c r="M29" t="s">
        <v>423</v>
      </c>
    </row>
    <row r="30" spans="1:13" ht="10.95" customHeight="1" x14ac:dyDescent="0.2">
      <c r="A30" s="12" t="s">
        <v>49</v>
      </c>
      <c r="B30" s="12" t="s">
        <v>50</v>
      </c>
      <c r="C30" s="13">
        <v>45611</v>
      </c>
      <c r="D30" s="12" t="s">
        <v>51</v>
      </c>
      <c r="E30" s="14">
        <v>249.5</v>
      </c>
      <c r="F30" s="14">
        <v>41.58</v>
      </c>
      <c r="G30" s="14">
        <v>207.92</v>
      </c>
      <c r="H30" s="15">
        <v>20</v>
      </c>
      <c r="I30" s="12" t="s">
        <v>22</v>
      </c>
      <c r="J30" s="12"/>
      <c r="K30" s="87"/>
      <c r="L30" s="43"/>
      <c r="M30" s="43"/>
    </row>
    <row r="31" spans="1:13" ht="10.95" customHeight="1" x14ac:dyDescent="0.2">
      <c r="A31" s="93" t="s">
        <v>432</v>
      </c>
      <c r="B31" s="12" t="s">
        <v>431</v>
      </c>
      <c r="C31" s="13">
        <v>45611</v>
      </c>
      <c r="D31" s="89" t="s">
        <v>425</v>
      </c>
      <c r="E31" s="14">
        <v>720</v>
      </c>
      <c r="F31" s="14">
        <v>120</v>
      </c>
      <c r="G31" s="14">
        <v>600</v>
      </c>
      <c r="H31" s="15">
        <v>20</v>
      </c>
      <c r="I31" s="12" t="s">
        <v>22</v>
      </c>
      <c r="J31" s="12"/>
      <c r="K31" s="87" t="s">
        <v>416</v>
      </c>
      <c r="L31" s="43" t="s">
        <v>422</v>
      </c>
      <c r="M31" s="43" t="s">
        <v>424</v>
      </c>
    </row>
    <row r="32" spans="1:13" ht="10.95" customHeight="1" x14ac:dyDescent="0.2">
      <c r="A32" s="12" t="s">
        <v>27</v>
      </c>
      <c r="B32" s="12" t="s">
        <v>28</v>
      </c>
      <c r="C32" s="13">
        <v>45614</v>
      </c>
      <c r="D32" s="50" t="s">
        <v>125</v>
      </c>
      <c r="E32" s="14">
        <v>-162</v>
      </c>
      <c r="F32" s="14">
        <v>0</v>
      </c>
      <c r="G32" s="14">
        <v>-162</v>
      </c>
      <c r="H32" s="15">
        <v>0</v>
      </c>
      <c r="I32" s="12" t="s">
        <v>30</v>
      </c>
      <c r="J32" s="12"/>
      <c r="K32" s="87"/>
    </row>
    <row r="33" spans="1:13" ht="10.95" customHeight="1" x14ac:dyDescent="0.2">
      <c r="A33" s="12" t="s">
        <v>27</v>
      </c>
      <c r="B33" s="12" t="s">
        <v>28</v>
      </c>
      <c r="C33" s="13">
        <v>45614</v>
      </c>
      <c r="D33" s="50" t="s">
        <v>126</v>
      </c>
      <c r="E33" s="14">
        <v>-162</v>
      </c>
      <c r="F33" s="14">
        <v>0</v>
      </c>
      <c r="G33" s="14">
        <v>-162</v>
      </c>
      <c r="H33" s="15">
        <v>0</v>
      </c>
      <c r="I33" s="12" t="s">
        <v>30</v>
      </c>
      <c r="J33" s="12"/>
      <c r="K33" s="87"/>
    </row>
    <row r="34" spans="1:13" x14ac:dyDescent="0.2">
      <c r="A34" s="12" t="s">
        <v>27</v>
      </c>
      <c r="B34" s="12" t="s">
        <v>28</v>
      </c>
      <c r="C34" s="13">
        <v>45614</v>
      </c>
      <c r="D34" s="50" t="s">
        <v>127</v>
      </c>
      <c r="E34" s="14">
        <v>-211.78</v>
      </c>
      <c r="F34" s="14">
        <v>-35.299999999999997</v>
      </c>
      <c r="G34" s="14">
        <v>-176.48</v>
      </c>
      <c r="H34" s="15">
        <v>20</v>
      </c>
      <c r="I34" s="12" t="s">
        <v>26</v>
      </c>
      <c r="J34" s="12"/>
      <c r="K34" s="87"/>
    </row>
    <row r="35" spans="1:13" ht="10.95" customHeight="1" x14ac:dyDescent="0.2">
      <c r="A35" s="12" t="s">
        <v>52</v>
      </c>
      <c r="B35" s="12" t="s">
        <v>53</v>
      </c>
      <c r="C35" s="13">
        <v>45614</v>
      </c>
      <c r="D35" s="12" t="s">
        <v>128</v>
      </c>
      <c r="E35" s="14">
        <v>6.98</v>
      </c>
      <c r="F35" s="14">
        <v>1.1599999999999999</v>
      </c>
      <c r="G35" s="14">
        <v>5.82</v>
      </c>
      <c r="H35" s="15">
        <v>20</v>
      </c>
      <c r="I35" s="12" t="s">
        <v>22</v>
      </c>
      <c r="J35" s="12"/>
      <c r="K35" s="87"/>
    </row>
    <row r="36" spans="1:13" ht="10.95" customHeight="1" x14ac:dyDescent="0.2">
      <c r="A36" s="12" t="s">
        <v>52</v>
      </c>
      <c r="B36" s="12" t="s">
        <v>53</v>
      </c>
      <c r="C36" s="13">
        <v>45614</v>
      </c>
      <c r="D36" s="12" t="s">
        <v>129</v>
      </c>
      <c r="E36" s="14">
        <v>149.26</v>
      </c>
      <c r="F36" s="14">
        <v>24.88</v>
      </c>
      <c r="G36" s="14">
        <v>124.38</v>
      </c>
      <c r="H36" s="15">
        <v>20</v>
      </c>
      <c r="I36" s="12" t="s">
        <v>22</v>
      </c>
      <c r="J36" s="12"/>
      <c r="K36" s="87"/>
    </row>
    <row r="37" spans="1:13" ht="10.95" customHeight="1" x14ac:dyDescent="0.2">
      <c r="A37" s="12" t="s">
        <v>52</v>
      </c>
      <c r="B37" s="12" t="s">
        <v>53</v>
      </c>
      <c r="C37" s="13">
        <v>45614</v>
      </c>
      <c r="D37" s="12" t="s">
        <v>130</v>
      </c>
      <c r="E37" s="14">
        <v>25.97</v>
      </c>
      <c r="F37" s="14">
        <v>4.33</v>
      </c>
      <c r="G37" s="14">
        <v>21.64</v>
      </c>
      <c r="H37" s="15">
        <v>20</v>
      </c>
      <c r="I37" s="12" t="s">
        <v>22</v>
      </c>
      <c r="J37" s="12"/>
      <c r="K37" s="87"/>
    </row>
    <row r="38" spans="1:13" ht="10.95" customHeight="1" x14ac:dyDescent="0.2">
      <c r="A38" s="12" t="s">
        <v>52</v>
      </c>
      <c r="B38" s="12" t="s">
        <v>53</v>
      </c>
      <c r="C38" s="13">
        <v>45614</v>
      </c>
      <c r="D38" s="12" t="s">
        <v>131</v>
      </c>
      <c r="E38" s="14">
        <v>4.99</v>
      </c>
      <c r="F38" s="14">
        <v>0</v>
      </c>
      <c r="G38" s="14">
        <v>4.99</v>
      </c>
      <c r="H38" s="15">
        <v>0</v>
      </c>
      <c r="I38" s="12" t="s">
        <v>15</v>
      </c>
      <c r="J38" s="12"/>
      <c r="K38" s="87"/>
    </row>
    <row r="39" spans="1:13" ht="10.95" customHeight="1" x14ac:dyDescent="0.2">
      <c r="A39" s="12" t="s">
        <v>54</v>
      </c>
      <c r="B39" s="12" t="s">
        <v>55</v>
      </c>
      <c r="C39" s="13">
        <v>45614</v>
      </c>
      <c r="D39" s="12" t="s">
        <v>132</v>
      </c>
      <c r="E39" s="14">
        <v>3</v>
      </c>
      <c r="F39" s="14">
        <v>0</v>
      </c>
      <c r="G39" s="14">
        <v>3</v>
      </c>
      <c r="H39" s="15">
        <v>0</v>
      </c>
      <c r="I39" s="12" t="s">
        <v>15</v>
      </c>
      <c r="J39" s="12"/>
    </row>
    <row r="40" spans="1:13" ht="10.95" customHeight="1" x14ac:dyDescent="0.2">
      <c r="A40" s="12" t="s">
        <v>56</v>
      </c>
      <c r="B40" s="12" t="s">
        <v>57</v>
      </c>
      <c r="C40" s="13">
        <v>45614</v>
      </c>
      <c r="D40" s="12" t="s">
        <v>58</v>
      </c>
      <c r="E40" s="14">
        <v>21.87</v>
      </c>
      <c r="F40" s="14">
        <v>0</v>
      </c>
      <c r="G40" s="14">
        <v>21.87</v>
      </c>
      <c r="H40" s="15">
        <v>0</v>
      </c>
      <c r="I40" s="12" t="s">
        <v>15</v>
      </c>
      <c r="J40" s="12"/>
    </row>
    <row r="41" spans="1:13" ht="10.95" customHeight="1" x14ac:dyDescent="0.2">
      <c r="A41" s="12" t="s">
        <v>41</v>
      </c>
      <c r="B41" s="12" t="s">
        <v>42</v>
      </c>
      <c r="C41" s="13">
        <v>45614</v>
      </c>
      <c r="D41" s="12" t="s">
        <v>133</v>
      </c>
      <c r="E41" s="14">
        <v>126.98</v>
      </c>
      <c r="F41" s="14">
        <v>21.17</v>
      </c>
      <c r="G41" s="14">
        <v>105.81</v>
      </c>
      <c r="H41" s="15">
        <v>20</v>
      </c>
      <c r="I41" s="12" t="s">
        <v>22</v>
      </c>
      <c r="J41" s="12"/>
    </row>
    <row r="42" spans="1:13" ht="10.95" customHeight="1" x14ac:dyDescent="0.2">
      <c r="A42" s="12" t="s">
        <v>59</v>
      </c>
      <c r="B42" s="12" t="s">
        <v>60</v>
      </c>
      <c r="C42" s="13">
        <v>45615</v>
      </c>
      <c r="D42" s="89" t="s">
        <v>426</v>
      </c>
      <c r="E42" s="14">
        <v>58.13</v>
      </c>
      <c r="F42" s="14">
        <v>2.77</v>
      </c>
      <c r="G42" s="14">
        <v>55.36</v>
      </c>
      <c r="H42" s="15">
        <v>5</v>
      </c>
      <c r="I42" s="12" t="s">
        <v>19</v>
      </c>
      <c r="J42" s="12"/>
    </row>
    <row r="43" spans="1:13" ht="10.95" customHeight="1" x14ac:dyDescent="0.2">
      <c r="A43" s="12" t="s">
        <v>59</v>
      </c>
      <c r="B43" s="12" t="s">
        <v>60</v>
      </c>
      <c r="C43" s="13">
        <v>45615</v>
      </c>
      <c r="D43" s="12" t="s">
        <v>61</v>
      </c>
      <c r="E43" s="14">
        <v>27.31</v>
      </c>
      <c r="F43" s="14">
        <v>1.3</v>
      </c>
      <c r="G43" s="14">
        <v>26.01</v>
      </c>
      <c r="H43" s="15">
        <v>5</v>
      </c>
      <c r="I43" s="12" t="s">
        <v>19</v>
      </c>
      <c r="J43" s="12"/>
    </row>
    <row r="44" spans="1:13" ht="10.95" customHeight="1" x14ac:dyDescent="0.2">
      <c r="A44" s="12" t="s">
        <v>62</v>
      </c>
      <c r="B44" s="12" t="s">
        <v>63</v>
      </c>
      <c r="C44" s="13">
        <v>45616</v>
      </c>
      <c r="D44" s="12" t="s">
        <v>64</v>
      </c>
      <c r="E44" s="14">
        <v>7.56</v>
      </c>
      <c r="F44" s="14">
        <v>0</v>
      </c>
      <c r="G44" s="14">
        <v>7.56</v>
      </c>
      <c r="H44" s="15">
        <v>0</v>
      </c>
      <c r="I44" s="12" t="s">
        <v>15</v>
      </c>
      <c r="J44" s="12"/>
    </row>
    <row r="45" spans="1:13" ht="10.95" customHeight="1" x14ac:dyDescent="0.2">
      <c r="A45" s="12" t="s">
        <v>65</v>
      </c>
      <c r="B45" s="12" t="s">
        <v>66</v>
      </c>
      <c r="C45" s="13">
        <v>45617</v>
      </c>
      <c r="D45" s="12" t="s">
        <v>124</v>
      </c>
      <c r="E45" s="14">
        <v>100</v>
      </c>
      <c r="F45" s="14">
        <v>0</v>
      </c>
      <c r="G45" s="14">
        <v>100</v>
      </c>
      <c r="H45" s="15">
        <v>0</v>
      </c>
      <c r="I45" s="12" t="s">
        <v>15</v>
      </c>
      <c r="J45" s="12"/>
    </row>
    <row r="46" spans="1:13" ht="10.95" customHeight="1" x14ac:dyDescent="0.2">
      <c r="A46" s="12" t="s">
        <v>67</v>
      </c>
      <c r="B46" s="12" t="s">
        <v>68</v>
      </c>
      <c r="C46" s="13">
        <v>45617</v>
      </c>
      <c r="D46" s="12" t="s">
        <v>69</v>
      </c>
      <c r="E46" s="14">
        <v>125.68</v>
      </c>
      <c r="F46" s="14">
        <v>5.98</v>
      </c>
      <c r="G46" s="14">
        <v>119.7</v>
      </c>
      <c r="H46" s="15">
        <v>5</v>
      </c>
      <c r="I46" s="12" t="s">
        <v>19</v>
      </c>
      <c r="J46" s="12"/>
      <c r="K46" s="43"/>
    </row>
    <row r="47" spans="1:13" ht="10.95" customHeight="1" x14ac:dyDescent="0.2">
      <c r="A47" s="12" t="s">
        <v>70</v>
      </c>
      <c r="B47" s="12" t="s">
        <v>71</v>
      </c>
      <c r="C47" s="13">
        <v>45617</v>
      </c>
      <c r="D47" s="90" t="s">
        <v>134</v>
      </c>
      <c r="E47" s="14">
        <v>780</v>
      </c>
      <c r="F47" s="14">
        <v>130</v>
      </c>
      <c r="G47" s="14">
        <v>650</v>
      </c>
      <c r="H47" s="15">
        <v>20</v>
      </c>
      <c r="I47" s="12" t="s">
        <v>22</v>
      </c>
      <c r="J47" s="12"/>
      <c r="K47" s="87"/>
      <c r="M47" s="43"/>
    </row>
    <row r="48" spans="1:13" ht="10.95" customHeight="1" x14ac:dyDescent="0.2">
      <c r="A48" s="12" t="s">
        <v>49</v>
      </c>
      <c r="B48" s="12" t="s">
        <v>50</v>
      </c>
      <c r="C48" s="13">
        <v>45617</v>
      </c>
      <c r="D48" s="12" t="s">
        <v>72</v>
      </c>
      <c r="E48" s="14">
        <v>81.84</v>
      </c>
      <c r="F48" s="14">
        <v>13.64</v>
      </c>
      <c r="G48" s="14">
        <v>68.2</v>
      </c>
      <c r="H48" s="15">
        <v>20</v>
      </c>
      <c r="I48" s="12" t="s">
        <v>22</v>
      </c>
      <c r="J48" s="12"/>
      <c r="K48" s="87"/>
      <c r="M48" s="43"/>
    </row>
    <row r="49" spans="1:13" ht="10.95" customHeight="1" x14ac:dyDescent="0.2">
      <c r="A49" s="12" t="s">
        <v>23</v>
      </c>
      <c r="B49" s="12" t="s">
        <v>24</v>
      </c>
      <c r="C49" s="13">
        <v>45621</v>
      </c>
      <c r="D49" s="50" t="s">
        <v>135</v>
      </c>
      <c r="E49" s="14">
        <v>-48</v>
      </c>
      <c r="F49" s="14">
        <v>-8</v>
      </c>
      <c r="G49" s="14">
        <v>-40</v>
      </c>
      <c r="H49" s="15">
        <v>20</v>
      </c>
      <c r="I49" s="12" t="s">
        <v>26</v>
      </c>
      <c r="J49" s="12"/>
      <c r="K49" s="87"/>
      <c r="M49" s="43"/>
    </row>
    <row r="50" spans="1:13" ht="10.95" customHeight="1" x14ac:dyDescent="0.2">
      <c r="A50" s="12" t="s">
        <v>54</v>
      </c>
      <c r="B50" s="12" t="s">
        <v>55</v>
      </c>
      <c r="C50" s="13">
        <v>45622</v>
      </c>
      <c r="D50" s="12" t="s">
        <v>136</v>
      </c>
      <c r="E50" s="14">
        <v>258.3</v>
      </c>
      <c r="F50" s="14">
        <v>43.05</v>
      </c>
      <c r="G50" s="14">
        <v>215.25</v>
      </c>
      <c r="H50" s="15">
        <v>20</v>
      </c>
      <c r="I50" s="12" t="s">
        <v>22</v>
      </c>
      <c r="J50" s="12"/>
      <c r="K50" s="87"/>
    </row>
    <row r="51" spans="1:13" ht="10.95" customHeight="1" x14ac:dyDescent="0.2">
      <c r="A51" s="12" t="s">
        <v>73</v>
      </c>
      <c r="B51" s="12" t="s">
        <v>74</v>
      </c>
      <c r="C51" s="13">
        <v>45622</v>
      </c>
      <c r="D51" s="12" t="s">
        <v>137</v>
      </c>
      <c r="E51" s="14">
        <v>228</v>
      </c>
      <c r="F51" s="14">
        <v>38</v>
      </c>
      <c r="G51" s="14">
        <v>190</v>
      </c>
      <c r="H51" s="15">
        <v>20</v>
      </c>
      <c r="I51" s="12" t="s">
        <v>22</v>
      </c>
      <c r="J51" s="12"/>
      <c r="K51" s="87"/>
      <c r="M51" s="43"/>
    </row>
    <row r="52" spans="1:13" ht="10.95" customHeight="1" x14ac:dyDescent="0.2">
      <c r="A52" s="12" t="s">
        <v>75</v>
      </c>
      <c r="B52" s="12" t="s">
        <v>76</v>
      </c>
      <c r="C52" s="13">
        <v>45622</v>
      </c>
      <c r="D52" s="12" t="s">
        <v>138</v>
      </c>
      <c r="E52" s="14">
        <v>1328.26</v>
      </c>
      <c r="F52" s="14">
        <v>0</v>
      </c>
      <c r="G52" s="14">
        <v>1328.26</v>
      </c>
      <c r="H52" s="15">
        <v>0</v>
      </c>
      <c r="I52" s="12" t="s">
        <v>15</v>
      </c>
      <c r="J52" s="12"/>
      <c r="K52" s="87" t="s">
        <v>416</v>
      </c>
      <c r="L52" t="s">
        <v>417</v>
      </c>
      <c r="M52" t="s">
        <v>419</v>
      </c>
    </row>
    <row r="53" spans="1:13" x14ac:dyDescent="0.2">
      <c r="A53" s="12" t="s">
        <v>47</v>
      </c>
      <c r="B53" s="12" t="s">
        <v>48</v>
      </c>
      <c r="C53" s="13">
        <v>45622</v>
      </c>
      <c r="D53" s="12" t="s">
        <v>148</v>
      </c>
      <c r="E53" s="14">
        <v>210</v>
      </c>
      <c r="F53" s="14">
        <v>35</v>
      </c>
      <c r="G53" s="14">
        <v>175</v>
      </c>
      <c r="H53" s="15">
        <v>20</v>
      </c>
      <c r="I53" s="12" t="s">
        <v>22</v>
      </c>
      <c r="J53" s="12"/>
      <c r="K53" s="87" t="s">
        <v>416</v>
      </c>
      <c r="L53" t="s">
        <v>420</v>
      </c>
      <c r="M53" t="s">
        <v>421</v>
      </c>
    </row>
    <row r="54" spans="1:13" ht="10.95" customHeight="1" x14ac:dyDescent="0.2">
      <c r="A54" s="12" t="s">
        <v>37</v>
      </c>
      <c r="B54" s="12" t="s">
        <v>38</v>
      </c>
      <c r="C54" s="13">
        <v>45622</v>
      </c>
      <c r="D54" s="92" t="s">
        <v>149</v>
      </c>
      <c r="E54" s="14">
        <v>600</v>
      </c>
      <c r="F54" s="14">
        <v>100</v>
      </c>
      <c r="G54" s="14">
        <v>500</v>
      </c>
      <c r="H54" s="15">
        <v>20</v>
      </c>
      <c r="I54" s="12" t="s">
        <v>22</v>
      </c>
      <c r="J54" s="12"/>
      <c r="K54" s="87" t="s">
        <v>416</v>
      </c>
      <c r="L54" t="s">
        <v>420</v>
      </c>
      <c r="M54" t="s">
        <v>421</v>
      </c>
    </row>
    <row r="55" spans="1:13" x14ac:dyDescent="0.2">
      <c r="A55" s="12" t="s">
        <v>77</v>
      </c>
      <c r="B55" s="12" t="s">
        <v>78</v>
      </c>
      <c r="C55" s="13">
        <v>45623</v>
      </c>
      <c r="D55" s="12" t="s">
        <v>150</v>
      </c>
      <c r="E55" s="14">
        <v>75</v>
      </c>
      <c r="F55" s="14">
        <v>12.5</v>
      </c>
      <c r="G55" s="14">
        <v>62.5</v>
      </c>
      <c r="H55" s="15">
        <v>20</v>
      </c>
      <c r="I55" s="12" t="s">
        <v>22</v>
      </c>
      <c r="J55" s="12"/>
      <c r="K55" s="87" t="s">
        <v>416</v>
      </c>
      <c r="L55" t="s">
        <v>420</v>
      </c>
      <c r="M55" t="s">
        <v>421</v>
      </c>
    </row>
    <row r="56" spans="1:13" ht="10.95" customHeight="1" x14ac:dyDescent="0.2">
      <c r="A56" s="12" t="s">
        <v>79</v>
      </c>
      <c r="B56" s="12" t="s">
        <v>80</v>
      </c>
      <c r="C56" s="13">
        <v>45623</v>
      </c>
      <c r="D56" s="12" t="s">
        <v>151</v>
      </c>
      <c r="E56" s="14">
        <v>648</v>
      </c>
      <c r="F56" s="14">
        <v>108</v>
      </c>
      <c r="G56" s="14">
        <v>540</v>
      </c>
      <c r="H56" s="15">
        <v>20</v>
      </c>
      <c r="I56" s="12" t="s">
        <v>22</v>
      </c>
      <c r="J56" s="12"/>
      <c r="K56" s="87" t="s">
        <v>416</v>
      </c>
      <c r="L56" t="s">
        <v>420</v>
      </c>
      <c r="M56" t="s">
        <v>421</v>
      </c>
    </row>
    <row r="57" spans="1:13" x14ac:dyDescent="0.2">
      <c r="A57" s="12" t="s">
        <v>81</v>
      </c>
      <c r="B57" s="12" t="s">
        <v>82</v>
      </c>
      <c r="C57" s="13">
        <v>45623</v>
      </c>
      <c r="D57" s="91" t="s">
        <v>152</v>
      </c>
      <c r="E57" s="14">
        <v>60</v>
      </c>
      <c r="F57" s="14">
        <v>10</v>
      </c>
      <c r="G57" s="14">
        <v>50</v>
      </c>
      <c r="H57" s="15">
        <v>20</v>
      </c>
      <c r="I57" s="12" t="s">
        <v>22</v>
      </c>
      <c r="J57" s="12"/>
      <c r="K57" s="87" t="s">
        <v>416</v>
      </c>
      <c r="L57" t="s">
        <v>420</v>
      </c>
      <c r="M57" t="s">
        <v>421</v>
      </c>
    </row>
    <row r="58" spans="1:13" ht="10.95" customHeight="1" x14ac:dyDescent="0.2">
      <c r="A58" s="12" t="s">
        <v>45</v>
      </c>
      <c r="B58" s="12" t="s">
        <v>46</v>
      </c>
      <c r="C58" s="13">
        <v>45623</v>
      </c>
      <c r="D58" s="12" t="s">
        <v>153</v>
      </c>
      <c r="E58" s="14">
        <v>1027.5</v>
      </c>
      <c r="F58" s="14">
        <v>171.25</v>
      </c>
      <c r="G58" s="14">
        <v>856.25</v>
      </c>
      <c r="H58" s="15">
        <v>20</v>
      </c>
      <c r="I58" s="12" t="s">
        <v>22</v>
      </c>
      <c r="J58" s="12"/>
      <c r="K58" s="87" t="s">
        <v>416</v>
      </c>
      <c r="L58" t="s">
        <v>420</v>
      </c>
      <c r="M58" t="s">
        <v>421</v>
      </c>
    </row>
    <row r="59" spans="1:13" ht="10.95" customHeight="1" x14ac:dyDescent="0.2">
      <c r="A59" s="12" t="s">
        <v>83</v>
      </c>
      <c r="B59" s="12" t="s">
        <v>84</v>
      </c>
      <c r="C59" s="13">
        <v>45623</v>
      </c>
      <c r="D59" s="12" t="s">
        <v>154</v>
      </c>
      <c r="E59" s="14">
        <v>104</v>
      </c>
      <c r="F59" s="14">
        <v>17.329999999999998</v>
      </c>
      <c r="G59" s="14">
        <v>86.67</v>
      </c>
      <c r="H59" s="15">
        <v>20</v>
      </c>
      <c r="I59" s="12" t="s">
        <v>22</v>
      </c>
      <c r="J59" s="12"/>
      <c r="K59" s="87" t="s">
        <v>416</v>
      </c>
      <c r="L59" t="s">
        <v>420</v>
      </c>
      <c r="M59" t="s">
        <v>421</v>
      </c>
    </row>
    <row r="60" spans="1:13" ht="10.95" customHeight="1" x14ac:dyDescent="0.2">
      <c r="A60" s="12" t="s">
        <v>83</v>
      </c>
      <c r="B60" s="12" t="s">
        <v>84</v>
      </c>
      <c r="C60" s="13">
        <v>45623</v>
      </c>
      <c r="D60" s="12" t="s">
        <v>155</v>
      </c>
      <c r="E60" s="14">
        <v>195</v>
      </c>
      <c r="F60" s="14">
        <v>32.5</v>
      </c>
      <c r="G60" s="14">
        <v>162.5</v>
      </c>
      <c r="H60" s="15">
        <v>20</v>
      </c>
      <c r="I60" s="12" t="s">
        <v>22</v>
      </c>
      <c r="J60" s="12"/>
      <c r="K60" s="87" t="s">
        <v>416</v>
      </c>
      <c r="L60" t="s">
        <v>420</v>
      </c>
      <c r="M60" t="s">
        <v>421</v>
      </c>
    </row>
    <row r="61" spans="1:13" ht="10.95" customHeight="1" x14ac:dyDescent="0.2">
      <c r="A61" s="12" t="s">
        <v>70</v>
      </c>
      <c r="B61" s="12" t="s">
        <v>71</v>
      </c>
      <c r="C61" s="13">
        <v>45623</v>
      </c>
      <c r="D61" s="12" t="s">
        <v>156</v>
      </c>
      <c r="E61" s="14">
        <v>406.66</v>
      </c>
      <c r="F61" s="14">
        <v>67.78</v>
      </c>
      <c r="G61" s="14">
        <v>338.88</v>
      </c>
      <c r="H61" s="15">
        <v>20</v>
      </c>
      <c r="I61" s="12" t="s">
        <v>22</v>
      </c>
      <c r="J61" s="12"/>
      <c r="K61" s="87" t="s">
        <v>416</v>
      </c>
      <c r="L61" t="s">
        <v>420</v>
      </c>
      <c r="M61" t="s">
        <v>421</v>
      </c>
    </row>
    <row r="62" spans="1:13" ht="10.95" customHeight="1" x14ac:dyDescent="0.2">
      <c r="A62" s="12" t="s">
        <v>70</v>
      </c>
      <c r="B62" s="12" t="s">
        <v>71</v>
      </c>
      <c r="C62" s="13">
        <v>45623</v>
      </c>
      <c r="D62" s="12" t="s">
        <v>157</v>
      </c>
      <c r="E62" s="14">
        <v>75</v>
      </c>
      <c r="F62" s="14">
        <v>12.5</v>
      </c>
      <c r="G62" s="14">
        <v>62.5</v>
      </c>
      <c r="H62" s="15">
        <v>20</v>
      </c>
      <c r="I62" s="12" t="s">
        <v>22</v>
      </c>
      <c r="J62" s="12"/>
      <c r="K62" s="87" t="s">
        <v>416</v>
      </c>
      <c r="L62" t="s">
        <v>420</v>
      </c>
      <c r="M62" t="s">
        <v>421</v>
      </c>
    </row>
    <row r="63" spans="1:13" ht="10.95" customHeight="1" x14ac:dyDescent="0.2">
      <c r="A63" s="12" t="s">
        <v>85</v>
      </c>
      <c r="B63" s="12" t="s">
        <v>86</v>
      </c>
      <c r="C63" s="13">
        <v>45623</v>
      </c>
      <c r="D63" s="12" t="s">
        <v>158</v>
      </c>
      <c r="E63" s="14">
        <v>1397.14</v>
      </c>
      <c r="F63" s="14">
        <v>232.86</v>
      </c>
      <c r="G63" s="14">
        <v>1164.28</v>
      </c>
      <c r="H63" s="15">
        <v>20</v>
      </c>
      <c r="I63" s="12" t="s">
        <v>22</v>
      </c>
      <c r="J63" s="12"/>
      <c r="K63" s="87" t="s">
        <v>416</v>
      </c>
      <c r="L63" t="s">
        <v>420</v>
      </c>
      <c r="M63" t="s">
        <v>421</v>
      </c>
    </row>
    <row r="64" spans="1:13" ht="10.95" customHeight="1" x14ac:dyDescent="0.2">
      <c r="A64" s="12" t="s">
        <v>87</v>
      </c>
      <c r="B64" s="12" t="s">
        <v>88</v>
      </c>
      <c r="C64" s="13">
        <v>45623</v>
      </c>
      <c r="D64" s="12" t="s">
        <v>159</v>
      </c>
      <c r="E64" s="14">
        <v>65</v>
      </c>
      <c r="F64" s="14">
        <v>10.83</v>
      </c>
      <c r="G64" s="14">
        <v>54.17</v>
      </c>
      <c r="H64" s="15">
        <v>20</v>
      </c>
      <c r="I64" s="12" t="s">
        <v>22</v>
      </c>
      <c r="J64" s="12"/>
      <c r="K64" s="87" t="s">
        <v>416</v>
      </c>
      <c r="L64" t="s">
        <v>420</v>
      </c>
      <c r="M64" t="s">
        <v>421</v>
      </c>
    </row>
    <row r="65" spans="1:13" ht="10.95" customHeight="1" x14ac:dyDescent="0.2">
      <c r="A65" s="12" t="s">
        <v>89</v>
      </c>
      <c r="B65" s="12" t="s">
        <v>90</v>
      </c>
      <c r="C65" s="13">
        <v>45624</v>
      </c>
      <c r="D65" s="12" t="s">
        <v>91</v>
      </c>
      <c r="E65" s="14">
        <v>33.6</v>
      </c>
      <c r="F65" s="14">
        <v>0</v>
      </c>
      <c r="G65" s="14">
        <v>33.6</v>
      </c>
      <c r="H65" s="15">
        <v>0</v>
      </c>
      <c r="I65" s="12" t="s">
        <v>15</v>
      </c>
      <c r="J65" s="12"/>
      <c r="K65" s="87"/>
    </row>
    <row r="66" spans="1:13" ht="10.95" customHeight="1" x14ac:dyDescent="0.2">
      <c r="A66" s="12" t="s">
        <v>92</v>
      </c>
      <c r="B66" s="12" t="s">
        <v>93</v>
      </c>
      <c r="C66" s="13">
        <v>45624</v>
      </c>
      <c r="D66" s="12" t="s">
        <v>94</v>
      </c>
      <c r="E66" s="14">
        <v>209.4</v>
      </c>
      <c r="F66" s="14">
        <v>34.9</v>
      </c>
      <c r="G66" s="14">
        <v>174.5</v>
      </c>
      <c r="H66" s="15">
        <v>20</v>
      </c>
      <c r="I66" s="12" t="s">
        <v>22</v>
      </c>
      <c r="J66" s="12"/>
      <c r="K66" s="87"/>
    </row>
    <row r="67" spans="1:13" ht="10.95" customHeight="1" x14ac:dyDescent="0.2">
      <c r="A67" s="12" t="s">
        <v>20</v>
      </c>
      <c r="B67" s="12" t="s">
        <v>21</v>
      </c>
      <c r="C67" s="13">
        <v>45624</v>
      </c>
      <c r="D67" s="12" t="s">
        <v>95</v>
      </c>
      <c r="E67" s="14">
        <v>32.119999999999997</v>
      </c>
      <c r="F67" s="14">
        <v>5.35</v>
      </c>
      <c r="G67" s="14">
        <v>26.77</v>
      </c>
      <c r="H67" s="15">
        <v>20</v>
      </c>
      <c r="I67" s="12" t="s">
        <v>22</v>
      </c>
      <c r="J67" s="12"/>
      <c r="K67" s="87"/>
    </row>
    <row r="68" spans="1:13" ht="10.95" customHeight="1" x14ac:dyDescent="0.2">
      <c r="A68" s="12" t="s">
        <v>96</v>
      </c>
      <c r="B68" s="12" t="s">
        <v>97</v>
      </c>
      <c r="C68" s="13">
        <v>45624</v>
      </c>
      <c r="D68" s="12" t="s">
        <v>147</v>
      </c>
      <c r="E68" s="14">
        <v>202.12</v>
      </c>
      <c r="F68" s="14">
        <v>0</v>
      </c>
      <c r="G68" s="14">
        <v>202.12</v>
      </c>
      <c r="H68" s="15">
        <v>0</v>
      </c>
      <c r="I68" s="12" t="s">
        <v>15</v>
      </c>
      <c r="J68" s="12"/>
    </row>
    <row r="69" spans="1:13" ht="10.95" customHeight="1" x14ac:dyDescent="0.2">
      <c r="A69" s="12" t="s">
        <v>96</v>
      </c>
      <c r="B69" s="12" t="s">
        <v>97</v>
      </c>
      <c r="C69" s="13">
        <v>45624</v>
      </c>
      <c r="D69" s="12" t="s">
        <v>146</v>
      </c>
      <c r="E69" s="14">
        <v>242</v>
      </c>
      <c r="F69" s="14">
        <v>0</v>
      </c>
      <c r="G69" s="14">
        <v>242</v>
      </c>
      <c r="H69" s="15">
        <v>0</v>
      </c>
      <c r="I69" s="12" t="s">
        <v>15</v>
      </c>
      <c r="J69" s="12"/>
    </row>
    <row r="70" spans="1:13" ht="10.95" customHeight="1" x14ac:dyDescent="0.2">
      <c r="A70" s="12" t="s">
        <v>98</v>
      </c>
      <c r="B70" s="12" t="s">
        <v>99</v>
      </c>
      <c r="C70" s="13">
        <v>45625</v>
      </c>
      <c r="D70" s="12" t="s">
        <v>139</v>
      </c>
      <c r="E70" s="14">
        <v>4004.2799999999997</v>
      </c>
      <c r="F70" s="14">
        <v>0</v>
      </c>
      <c r="G70" s="14">
        <v>4004.2799999999997</v>
      </c>
      <c r="H70" s="15">
        <v>0</v>
      </c>
      <c r="I70" s="12" t="s">
        <v>15</v>
      </c>
      <c r="J70" s="12"/>
      <c r="K70" s="87" t="s">
        <v>416</v>
      </c>
      <c r="L70" t="s">
        <v>417</v>
      </c>
      <c r="M70" s="43" t="s">
        <v>418</v>
      </c>
    </row>
    <row r="71" spans="1:13" ht="10.95" customHeight="1" x14ac:dyDescent="0.2">
      <c r="A71" s="12" t="s">
        <v>433</v>
      </c>
      <c r="B71" s="12" t="s">
        <v>434</v>
      </c>
      <c r="C71" s="13">
        <v>45625</v>
      </c>
      <c r="D71" s="89" t="s">
        <v>435</v>
      </c>
      <c r="E71" s="14">
        <v>18</v>
      </c>
      <c r="F71" s="14">
        <v>0</v>
      </c>
      <c r="G71" s="14">
        <v>18</v>
      </c>
      <c r="H71" s="15">
        <v>0</v>
      </c>
      <c r="I71" s="12" t="s">
        <v>15</v>
      </c>
      <c r="J71" s="12"/>
    </row>
    <row r="72" spans="1:13" ht="10.95" customHeight="1" x14ac:dyDescent="0.2">
      <c r="A72" s="12" t="s">
        <v>433</v>
      </c>
      <c r="B72" s="12" t="s">
        <v>434</v>
      </c>
      <c r="C72" s="13">
        <v>45625</v>
      </c>
      <c r="D72" s="89" t="s">
        <v>436</v>
      </c>
      <c r="E72" s="14">
        <v>5.5</v>
      </c>
      <c r="F72" s="14">
        <v>0</v>
      </c>
      <c r="G72" s="14">
        <v>5.5</v>
      </c>
      <c r="H72" s="15">
        <v>0</v>
      </c>
      <c r="I72" s="12" t="s">
        <v>15</v>
      </c>
      <c r="J72" s="12"/>
    </row>
    <row r="73" spans="1:13" ht="10.95" customHeight="1" x14ac:dyDescent="0.2">
      <c r="A73" s="12" t="s">
        <v>54</v>
      </c>
      <c r="B73" s="12" t="s">
        <v>55</v>
      </c>
      <c r="C73" s="13">
        <v>45626</v>
      </c>
      <c r="D73" s="12" t="s">
        <v>213</v>
      </c>
      <c r="E73" s="14">
        <v>6</v>
      </c>
      <c r="F73" s="14">
        <v>0</v>
      </c>
      <c r="G73" s="14">
        <v>6</v>
      </c>
      <c r="H73" s="15">
        <v>0</v>
      </c>
      <c r="I73" s="12" t="s">
        <v>15</v>
      </c>
      <c r="J73" s="12"/>
      <c r="K73" s="87"/>
    </row>
    <row r="74" spans="1:13" ht="10.95" customHeight="1" x14ac:dyDescent="0.2">
      <c r="A74" s="12" t="s">
        <v>54</v>
      </c>
      <c r="B74" s="12" t="s">
        <v>55</v>
      </c>
      <c r="C74" s="13">
        <v>45626</v>
      </c>
      <c r="D74" s="12" t="s">
        <v>214</v>
      </c>
      <c r="E74" s="14">
        <v>6</v>
      </c>
      <c r="F74" s="14">
        <v>0</v>
      </c>
      <c r="G74" s="14">
        <v>6</v>
      </c>
      <c r="H74" s="15">
        <v>0</v>
      </c>
      <c r="I74" s="12" t="s">
        <v>15</v>
      </c>
      <c r="J74" s="12"/>
    </row>
    <row r="75" spans="1:13" ht="10.95" customHeight="1" x14ac:dyDescent="0.2">
      <c r="A75" s="12" t="s">
        <v>98</v>
      </c>
      <c r="B75" s="12" t="s">
        <v>99</v>
      </c>
      <c r="C75" s="13">
        <v>45626</v>
      </c>
      <c r="D75" s="52" t="s">
        <v>140</v>
      </c>
      <c r="E75" s="14">
        <v>-4004.28</v>
      </c>
      <c r="F75" s="14">
        <v>0</v>
      </c>
      <c r="G75" s="14">
        <v>-4004.28</v>
      </c>
      <c r="H75" s="15">
        <v>0</v>
      </c>
      <c r="I75" s="12" t="s">
        <v>15</v>
      </c>
      <c r="J75" s="12"/>
    </row>
    <row r="76" spans="1:13" ht="10.95" customHeight="1" x14ac:dyDescent="0.2">
      <c r="A76" s="12" t="s">
        <v>75</v>
      </c>
      <c r="B76" s="12" t="s">
        <v>76</v>
      </c>
      <c r="C76" s="13">
        <v>45626</v>
      </c>
      <c r="D76" s="52" t="s">
        <v>141</v>
      </c>
      <c r="E76" s="14">
        <v>-1328.26</v>
      </c>
      <c r="F76" s="14">
        <v>0</v>
      </c>
      <c r="G76" s="14">
        <v>-1328.26</v>
      </c>
      <c r="H76" s="15">
        <v>0</v>
      </c>
      <c r="I76" s="12" t="s">
        <v>15</v>
      </c>
      <c r="J76" s="12"/>
    </row>
    <row r="77" spans="1:13" ht="10.95" customHeight="1" x14ac:dyDescent="0.2">
      <c r="A77" s="12" t="s">
        <v>100</v>
      </c>
      <c r="B77" s="12" t="s">
        <v>101</v>
      </c>
      <c r="C77" s="13">
        <v>45626</v>
      </c>
      <c r="D77" s="52" t="s">
        <v>142</v>
      </c>
      <c r="E77" s="14">
        <v>5082.38</v>
      </c>
      <c r="F77" s="14">
        <v>0</v>
      </c>
      <c r="G77" s="14">
        <v>5082.38</v>
      </c>
      <c r="H77" s="15">
        <v>0</v>
      </c>
      <c r="I77" s="12" t="s">
        <v>15</v>
      </c>
      <c r="J77" s="12"/>
    </row>
    <row r="78" spans="1:13" ht="10.95" customHeight="1" x14ac:dyDescent="0.2">
      <c r="A78" s="12" t="s">
        <v>100</v>
      </c>
      <c r="B78" s="12" t="s">
        <v>101</v>
      </c>
      <c r="C78" s="13">
        <v>45626</v>
      </c>
      <c r="D78" s="52" t="s">
        <v>143</v>
      </c>
      <c r="E78" s="14">
        <v>492.16</v>
      </c>
      <c r="F78" s="14">
        <v>0</v>
      </c>
      <c r="G78" s="14">
        <v>492.16</v>
      </c>
      <c r="H78" s="15">
        <v>0</v>
      </c>
      <c r="I78" s="12" t="s">
        <v>15</v>
      </c>
      <c r="J78" s="12"/>
    </row>
    <row r="79" spans="1:13" ht="10.95" customHeight="1" x14ac:dyDescent="0.2">
      <c r="A79" s="12" t="s">
        <v>102</v>
      </c>
      <c r="B79" s="12" t="s">
        <v>103</v>
      </c>
      <c r="C79" s="13">
        <v>45626</v>
      </c>
      <c r="D79" s="52" t="s">
        <v>144</v>
      </c>
      <c r="E79" s="14">
        <v>202.12</v>
      </c>
      <c r="F79" s="14">
        <v>0</v>
      </c>
      <c r="G79" s="14">
        <v>202.12</v>
      </c>
      <c r="H79" s="15">
        <v>0</v>
      </c>
      <c r="I79" s="12" t="s">
        <v>15</v>
      </c>
      <c r="J79" s="12"/>
    </row>
    <row r="80" spans="1:13" ht="10.95" customHeight="1" x14ac:dyDescent="0.2">
      <c r="A80" s="12" t="s">
        <v>96</v>
      </c>
      <c r="B80" s="12" t="s">
        <v>97</v>
      </c>
      <c r="C80" s="13">
        <v>45626</v>
      </c>
      <c r="D80" s="52" t="s">
        <v>145</v>
      </c>
      <c r="E80" s="14">
        <v>-444.12</v>
      </c>
      <c r="F80" s="14">
        <v>0</v>
      </c>
      <c r="G80" s="14">
        <v>-444.12</v>
      </c>
      <c r="H80" s="15">
        <v>0</v>
      </c>
      <c r="I80" s="12" t="s">
        <v>15</v>
      </c>
      <c r="J80" s="12"/>
    </row>
    <row r="81" spans="1:14" ht="10.95" customHeight="1" x14ac:dyDescent="0.2">
      <c r="A81" s="16" t="s">
        <v>104</v>
      </c>
      <c r="B81" s="16"/>
      <c r="C81" s="16"/>
      <c r="D81" s="16"/>
      <c r="E81" s="17">
        <f>SUM(E6:E80)</f>
        <v>12404.899999999998</v>
      </c>
      <c r="F81" s="17">
        <f>SUM(F6:F80)</f>
        <v>1269.04</v>
      </c>
      <c r="G81" s="17">
        <f>SUM(G6:G80)</f>
        <v>11135.86</v>
      </c>
      <c r="H81" s="16"/>
      <c r="I81" s="16"/>
      <c r="J81" s="16"/>
    </row>
    <row r="82" spans="1:14" ht="12" x14ac:dyDescent="0.2">
      <c r="D82" s="19" t="s">
        <v>160</v>
      </c>
      <c r="E82" s="20"/>
      <c r="F82" s="20"/>
      <c r="G82" s="20"/>
    </row>
    <row r="83" spans="1:14" x14ac:dyDescent="0.2">
      <c r="D83" s="8" t="s">
        <v>210</v>
      </c>
    </row>
    <row r="85" spans="1:14" x14ac:dyDescent="0.2">
      <c r="D85" s="21" t="s">
        <v>161</v>
      </c>
      <c r="E85" s="8"/>
      <c r="G85" s="22" t="s">
        <v>215</v>
      </c>
      <c r="J85" s="23">
        <v>210971.14</v>
      </c>
    </row>
    <row r="86" spans="1:14" x14ac:dyDescent="0.2">
      <c r="D86" s="24" t="s">
        <v>162</v>
      </c>
      <c r="E86" s="8"/>
      <c r="F86" s="8"/>
      <c r="G86" s="22" t="s">
        <v>216</v>
      </c>
      <c r="J86" s="25">
        <v>224292.27</v>
      </c>
    </row>
    <row r="87" spans="1:14" x14ac:dyDescent="0.2">
      <c r="D87" s="26" t="s">
        <v>163</v>
      </c>
      <c r="E87" s="8"/>
      <c r="G87" t="s">
        <v>219</v>
      </c>
      <c r="J87" s="25">
        <v>10</v>
      </c>
    </row>
    <row r="88" spans="1:14" x14ac:dyDescent="0.2">
      <c r="D88" s="27" t="s">
        <v>164</v>
      </c>
      <c r="E88" s="8"/>
      <c r="F88" s="8"/>
      <c r="G88" s="22" t="s">
        <v>217</v>
      </c>
      <c r="J88" s="23">
        <v>4015.46</v>
      </c>
    </row>
    <row r="89" spans="1:14" ht="13.2" x14ac:dyDescent="0.2">
      <c r="D89" s="30" t="s">
        <v>165</v>
      </c>
      <c r="E89" s="8"/>
      <c r="F89" s="85">
        <v>1</v>
      </c>
      <c r="G89" s="28" t="s">
        <v>218</v>
      </c>
      <c r="J89" s="29">
        <f>SUM(J85:J88)</f>
        <v>439288.87000000005</v>
      </c>
    </row>
    <row r="90" spans="1:14" x14ac:dyDescent="0.2">
      <c r="D90" s="31" t="s">
        <v>166</v>
      </c>
      <c r="E90" s="8"/>
      <c r="F90" s="8"/>
      <c r="G90" s="8"/>
      <c r="J90" s="8"/>
    </row>
    <row r="91" spans="1:14" x14ac:dyDescent="0.2">
      <c r="E91" s="8"/>
      <c r="F91" s="32"/>
      <c r="G91" s="8" t="s">
        <v>167</v>
      </c>
    </row>
    <row r="92" spans="1:14" ht="13.2" x14ac:dyDescent="0.2">
      <c r="D92" s="8"/>
      <c r="E92" s="8"/>
      <c r="F92" s="8" t="s">
        <v>168</v>
      </c>
      <c r="G92" s="28" t="s">
        <v>169</v>
      </c>
      <c r="J92" s="33"/>
      <c r="K92" s="34" t="s">
        <v>170</v>
      </c>
    </row>
    <row r="93" spans="1:14" x14ac:dyDescent="0.2">
      <c r="D93" s="8"/>
      <c r="E93" s="8"/>
      <c r="F93" s="35" t="s">
        <v>171</v>
      </c>
      <c r="G93" s="8" t="s">
        <v>172</v>
      </c>
      <c r="J93" s="36">
        <f>5673-4673-350-650</f>
        <v>0</v>
      </c>
      <c r="K93" s="38" t="s">
        <v>427</v>
      </c>
    </row>
    <row r="94" spans="1:14" x14ac:dyDescent="0.2">
      <c r="D94" s="8"/>
      <c r="E94" s="8"/>
      <c r="F94" s="35" t="s">
        <v>174</v>
      </c>
      <c r="G94" s="22" t="s">
        <v>175</v>
      </c>
      <c r="J94" s="41">
        <f>108972.7+4673+1000+12000+1088.27+4211.54-13-3+10255-300+12000+8387.78</f>
        <v>162272.29</v>
      </c>
      <c r="K94" s="70" t="s">
        <v>173</v>
      </c>
    </row>
    <row r="95" spans="1:14" x14ac:dyDescent="0.2">
      <c r="D95" s="8"/>
      <c r="E95" s="8"/>
      <c r="F95" s="35" t="s">
        <v>177</v>
      </c>
      <c r="G95" s="8" t="s">
        <v>178</v>
      </c>
      <c r="J95" s="41">
        <f>37500-108-1095</f>
        <v>36297</v>
      </c>
      <c r="K95" s="70" t="s">
        <v>173</v>
      </c>
      <c r="L95" s="39"/>
      <c r="M95" s="39"/>
      <c r="N95" s="39"/>
    </row>
    <row r="96" spans="1:14" x14ac:dyDescent="0.2">
      <c r="D96" s="8"/>
      <c r="E96" s="8"/>
      <c r="F96" s="40" t="s">
        <v>180</v>
      </c>
      <c r="G96" s="8" t="s">
        <v>181</v>
      </c>
      <c r="J96" s="41">
        <f>37500-966</f>
        <v>36534</v>
      </c>
      <c r="K96" s="42" t="s">
        <v>173</v>
      </c>
      <c r="L96" s="43"/>
    </row>
    <row r="97" spans="4:13" x14ac:dyDescent="0.2">
      <c r="E97" s="8"/>
      <c r="F97" s="40" t="s">
        <v>182</v>
      </c>
      <c r="G97" s="8" t="s">
        <v>183</v>
      </c>
      <c r="J97" s="41">
        <f>10000-3230.84-100+156</f>
        <v>6825.16</v>
      </c>
      <c r="K97" s="42" t="s">
        <v>173</v>
      </c>
      <c r="L97" s="43"/>
    </row>
    <row r="98" spans="4:13" x14ac:dyDescent="0.2">
      <c r="D98" s="8"/>
      <c r="E98" s="8"/>
      <c r="F98" s="40" t="s">
        <v>184</v>
      </c>
      <c r="G98" s="8" t="s">
        <v>185</v>
      </c>
      <c r="J98" s="36">
        <f>3090-1422.9-320+320</f>
        <v>1667.1</v>
      </c>
      <c r="K98" s="38" t="s">
        <v>430</v>
      </c>
      <c r="L98" s="43"/>
    </row>
    <row r="99" spans="4:13" x14ac:dyDescent="0.2">
      <c r="D99" s="8"/>
      <c r="E99" s="8"/>
      <c r="F99" s="40" t="s">
        <v>186</v>
      </c>
      <c r="G99" s="8" t="s">
        <v>187</v>
      </c>
      <c r="J99" s="36">
        <f>3200+3700-50-4035-50</f>
        <v>2765</v>
      </c>
      <c r="K99" s="38" t="s">
        <v>428</v>
      </c>
      <c r="L99" s="39"/>
    </row>
    <row r="100" spans="4:13" x14ac:dyDescent="0.2">
      <c r="D100" s="8"/>
      <c r="E100" s="8"/>
      <c r="F100" s="40" t="s">
        <v>188</v>
      </c>
      <c r="G100" s="22" t="s">
        <v>189</v>
      </c>
      <c r="J100" s="36">
        <f>3500-1800-1700</f>
        <v>0</v>
      </c>
      <c r="K100" s="38" t="s">
        <v>429</v>
      </c>
      <c r="L100" s="39"/>
      <c r="M100" s="39"/>
    </row>
    <row r="101" spans="4:13" x14ac:dyDescent="0.2">
      <c r="D101" s="8"/>
      <c r="E101" s="8"/>
      <c r="F101" s="40" t="s">
        <v>191</v>
      </c>
      <c r="G101" s="22" t="s">
        <v>192</v>
      </c>
      <c r="J101" s="41">
        <f>500+1000+1000</f>
        <v>2500</v>
      </c>
      <c r="K101" s="42" t="s">
        <v>173</v>
      </c>
      <c r="L101" s="43"/>
    </row>
    <row r="102" spans="4:13" x14ac:dyDescent="0.2">
      <c r="D102" s="8"/>
      <c r="E102" s="8"/>
      <c r="F102" s="40" t="s">
        <v>193</v>
      </c>
      <c r="G102" s="22" t="s">
        <v>194</v>
      </c>
      <c r="H102" s="43"/>
      <c r="I102" s="43"/>
      <c r="J102" s="41">
        <f>450+50+100+50-100+100</f>
        <v>650</v>
      </c>
      <c r="K102" s="42" t="s">
        <v>173</v>
      </c>
      <c r="L102" s="43"/>
    </row>
    <row r="103" spans="4:13" x14ac:dyDescent="0.2">
      <c r="D103" s="8"/>
      <c r="E103" s="8"/>
      <c r="F103" s="40" t="s">
        <v>195</v>
      </c>
      <c r="G103" s="22" t="s">
        <v>196</v>
      </c>
      <c r="H103" s="43"/>
      <c r="I103" s="43"/>
      <c r="J103" s="41">
        <f>62030.3+0.7-1216.74</f>
        <v>60814.26</v>
      </c>
      <c r="K103" s="34" t="s">
        <v>173</v>
      </c>
      <c r="L103" s="43"/>
    </row>
    <row r="104" spans="4:13" x14ac:dyDescent="0.2">
      <c r="D104" s="8"/>
      <c r="E104" s="8"/>
      <c r="F104" s="40" t="s">
        <v>197</v>
      </c>
      <c r="G104" s="22" t="s">
        <v>198</v>
      </c>
      <c r="J104" s="41">
        <v>3555.91</v>
      </c>
      <c r="K104" s="42" t="s">
        <v>173</v>
      </c>
      <c r="L104" s="43"/>
    </row>
    <row r="105" spans="4:13" ht="13.2" x14ac:dyDescent="0.2">
      <c r="F105" s="44">
        <v>2</v>
      </c>
      <c r="G105" s="44" t="s">
        <v>199</v>
      </c>
      <c r="J105" s="29">
        <f>SUM(J93:J104)</f>
        <v>313880.71999999997</v>
      </c>
      <c r="K105" s="34" t="s">
        <v>200</v>
      </c>
    </row>
    <row r="106" spans="4:13" x14ac:dyDescent="0.2">
      <c r="F106" s="8"/>
      <c r="G106" s="8"/>
      <c r="J106" s="45" t="s">
        <v>167</v>
      </c>
      <c r="K106" s="46"/>
    </row>
    <row r="107" spans="4:13" ht="13.2" x14ac:dyDescent="0.25">
      <c r="F107" s="44">
        <v>3</v>
      </c>
      <c r="G107" s="44" t="s">
        <v>201</v>
      </c>
      <c r="H107" s="47"/>
      <c r="J107" s="29">
        <f>SUM('Calendarised Budget in Xero'!J122:M122)</f>
        <v>32647</v>
      </c>
      <c r="K107" s="34" t="s">
        <v>202</v>
      </c>
    </row>
    <row r="108" spans="4:13" ht="13.2" x14ac:dyDescent="0.2">
      <c r="F108" s="44">
        <v>4</v>
      </c>
      <c r="G108" s="44" t="s">
        <v>203</v>
      </c>
      <c r="J108" s="29">
        <f>J89-J105-J107</f>
        <v>92761.150000000081</v>
      </c>
      <c r="K108" s="42" t="s">
        <v>204</v>
      </c>
    </row>
    <row r="109" spans="4:13" ht="13.2" x14ac:dyDescent="0.2">
      <c r="F109" s="44">
        <v>5</v>
      </c>
      <c r="G109" s="44" t="s">
        <v>205</v>
      </c>
      <c r="J109" s="48">
        <f>J105+J108</f>
        <v>406641.87000000005</v>
      </c>
      <c r="K109" s="42" t="s">
        <v>206</v>
      </c>
    </row>
    <row r="111" spans="4:13" ht="13.2" x14ac:dyDescent="0.2">
      <c r="F111" s="44"/>
      <c r="G111" s="48" t="s">
        <v>207</v>
      </c>
      <c r="H111" s="48"/>
      <c r="I111" s="48"/>
      <c r="J111" s="48"/>
      <c r="K111" s="48"/>
    </row>
    <row r="112" spans="4:13" ht="13.2" x14ac:dyDescent="0.2">
      <c r="F112" s="44"/>
      <c r="G112" s="48" t="s">
        <v>208</v>
      </c>
      <c r="H112" s="48"/>
      <c r="I112" s="48"/>
      <c r="J112" s="48">
        <f>137494/2</f>
        <v>68747</v>
      </c>
      <c r="K112" s="42" t="s">
        <v>220</v>
      </c>
    </row>
    <row r="113" spans="6:11" ht="13.2" x14ac:dyDescent="0.2">
      <c r="F113" s="44"/>
      <c r="G113" s="48" t="s">
        <v>209</v>
      </c>
      <c r="H113" s="48"/>
      <c r="I113" s="48"/>
      <c r="J113" s="48">
        <f>J108-J112</f>
        <v>24014.150000000081</v>
      </c>
      <c r="K113" s="48"/>
    </row>
  </sheetData>
  <phoneticPr fontId="8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E565-FA8F-4A23-8EC5-F1C2C5BD6E4C}">
  <dimension ref="A1:O110"/>
  <sheetViews>
    <sheetView topLeftCell="A63" workbookViewId="0">
      <selection activeCell="E83" sqref="E83"/>
    </sheetView>
  </sheetViews>
  <sheetFormatPr defaultRowHeight="11.4" x14ac:dyDescent="0.2"/>
  <cols>
    <col min="1" max="1" width="11.5" style="57" bestFit="1" customWidth="1"/>
    <col min="2" max="2" width="33.25" style="57" bestFit="1" customWidth="1"/>
    <col min="3" max="3" width="12.5" style="57" customWidth="1"/>
    <col min="4" max="5" width="9" style="57"/>
    <col min="6" max="6" width="10.875" style="57" bestFit="1" customWidth="1"/>
    <col min="7" max="8" width="9" style="57"/>
    <col min="9" max="9" width="4.625" style="57" customWidth="1"/>
    <col min="10" max="10" width="13.5" style="65" bestFit="1" customWidth="1"/>
    <col min="11" max="11" width="13.25" style="57" customWidth="1"/>
    <col min="12" max="12" width="27.625" style="57" bestFit="1" customWidth="1"/>
    <col min="13" max="13" width="9.125" style="57" bestFit="1" customWidth="1"/>
    <col min="14" max="14" width="5.125" style="57" bestFit="1" customWidth="1"/>
    <col min="15" max="15" width="9.125" style="57" bestFit="1" customWidth="1"/>
    <col min="16" max="16" width="11.25" style="57" bestFit="1" customWidth="1"/>
    <col min="17" max="17" width="27.625" style="57" bestFit="1" customWidth="1"/>
    <col min="18" max="16384" width="9" style="57"/>
  </cols>
  <sheetData>
    <row r="1" spans="1:5" ht="12" x14ac:dyDescent="0.2">
      <c r="A1" s="53" t="s">
        <v>221</v>
      </c>
      <c r="B1" s="54" t="s">
        <v>169</v>
      </c>
      <c r="C1" s="55" t="s">
        <v>222</v>
      </c>
      <c r="D1" s="53"/>
      <c r="E1" s="56"/>
    </row>
    <row r="2" spans="1:5" x14ac:dyDescent="0.2">
      <c r="A2" s="58" t="s">
        <v>171</v>
      </c>
      <c r="B2" s="59" t="s">
        <v>172</v>
      </c>
      <c r="C2" s="60">
        <v>5673</v>
      </c>
      <c r="D2" s="61" t="s">
        <v>223</v>
      </c>
      <c r="E2" s="56"/>
    </row>
    <row r="3" spans="1:5" x14ac:dyDescent="0.2">
      <c r="A3" s="58" t="s">
        <v>174</v>
      </c>
      <c r="B3" s="59" t="s">
        <v>175</v>
      </c>
      <c r="C3" s="60">
        <v>108972.7</v>
      </c>
      <c r="D3" s="61" t="s">
        <v>223</v>
      </c>
      <c r="E3" s="56"/>
    </row>
    <row r="4" spans="1:5" x14ac:dyDescent="0.2">
      <c r="A4" s="58" t="s">
        <v>177</v>
      </c>
      <c r="B4" s="53" t="s">
        <v>178</v>
      </c>
      <c r="C4" s="60">
        <v>37500</v>
      </c>
      <c r="D4" s="61" t="s">
        <v>223</v>
      </c>
      <c r="E4" s="56"/>
    </row>
    <row r="5" spans="1:5" x14ac:dyDescent="0.2">
      <c r="A5" s="58" t="s">
        <v>180</v>
      </c>
      <c r="B5" s="53" t="s">
        <v>181</v>
      </c>
      <c r="C5" s="60">
        <v>37500</v>
      </c>
      <c r="D5" s="61" t="s">
        <v>223</v>
      </c>
      <c r="E5" s="53"/>
    </row>
    <row r="6" spans="1:5" x14ac:dyDescent="0.2">
      <c r="A6" s="58" t="s">
        <v>182</v>
      </c>
      <c r="B6" s="53" t="s">
        <v>183</v>
      </c>
      <c r="C6" s="60">
        <v>10000</v>
      </c>
      <c r="D6" s="61" t="s">
        <v>223</v>
      </c>
      <c r="E6" s="53"/>
    </row>
    <row r="7" spans="1:5" x14ac:dyDescent="0.2">
      <c r="A7" s="58" t="s">
        <v>184</v>
      </c>
      <c r="B7" s="53" t="s">
        <v>185</v>
      </c>
      <c r="C7" s="60">
        <v>0</v>
      </c>
      <c r="D7" s="61" t="s">
        <v>224</v>
      </c>
      <c r="E7" s="53"/>
    </row>
    <row r="8" spans="1:5" x14ac:dyDescent="0.2">
      <c r="A8" s="58" t="s">
        <v>186</v>
      </c>
      <c r="B8" s="53" t="s">
        <v>187</v>
      </c>
      <c r="C8" s="60">
        <v>3200</v>
      </c>
      <c r="D8" s="61" t="s">
        <v>223</v>
      </c>
      <c r="E8" s="56"/>
    </row>
    <row r="9" spans="1:5" x14ac:dyDescent="0.2">
      <c r="A9" s="58" t="s">
        <v>188</v>
      </c>
      <c r="B9" s="53" t="s">
        <v>225</v>
      </c>
      <c r="C9" s="60">
        <v>1000</v>
      </c>
      <c r="D9" s="61" t="s">
        <v>223</v>
      </c>
      <c r="E9" s="56"/>
    </row>
    <row r="10" spans="1:5" x14ac:dyDescent="0.2">
      <c r="A10" s="58" t="s">
        <v>191</v>
      </c>
      <c r="B10" s="53" t="s">
        <v>226</v>
      </c>
      <c r="C10" s="60">
        <v>12000</v>
      </c>
      <c r="D10" s="61" t="s">
        <v>223</v>
      </c>
      <c r="E10" s="56"/>
    </row>
    <row r="11" spans="1:5" x14ac:dyDescent="0.2">
      <c r="A11" s="58" t="s">
        <v>193</v>
      </c>
      <c r="B11" s="53" t="s">
        <v>227</v>
      </c>
      <c r="C11" s="60">
        <v>12000</v>
      </c>
      <c r="D11" s="61" t="s">
        <v>223</v>
      </c>
      <c r="E11" s="53"/>
    </row>
    <row r="12" spans="1:5" x14ac:dyDescent="0.2">
      <c r="A12" s="53">
        <v>2</v>
      </c>
      <c r="B12" s="53" t="s">
        <v>199</v>
      </c>
      <c r="C12" s="60">
        <f>SUM(C2:C11)</f>
        <v>227845.7</v>
      </c>
      <c r="D12" s="53" t="s">
        <v>200</v>
      </c>
      <c r="E12" s="53"/>
    </row>
    <row r="13" spans="1:5" ht="12" x14ac:dyDescent="0.25">
      <c r="A13" s="62" t="s">
        <v>228</v>
      </c>
    </row>
    <row r="14" spans="1:5" x14ac:dyDescent="0.2">
      <c r="A14" s="63" t="s">
        <v>229</v>
      </c>
      <c r="B14" s="53" t="s">
        <v>183</v>
      </c>
      <c r="C14" s="64">
        <v>9743.34</v>
      </c>
      <c r="D14" s="61" t="s">
        <v>230</v>
      </c>
      <c r="E14" s="56"/>
    </row>
    <row r="15" spans="1:5" x14ac:dyDescent="0.2">
      <c r="A15" s="63" t="s">
        <v>231</v>
      </c>
      <c r="B15" s="53" t="s">
        <v>183</v>
      </c>
      <c r="C15" s="64">
        <v>8918.7100000000009</v>
      </c>
      <c r="D15" s="61" t="s">
        <v>232</v>
      </c>
    </row>
    <row r="16" spans="1:5" x14ac:dyDescent="0.2">
      <c r="A16" s="63" t="s">
        <v>233</v>
      </c>
      <c r="B16" s="53" t="s">
        <v>173</v>
      </c>
      <c r="C16" s="64"/>
      <c r="D16" s="61"/>
    </row>
    <row r="17" spans="1:11" x14ac:dyDescent="0.2">
      <c r="A17" s="63" t="s">
        <v>234</v>
      </c>
      <c r="B17" s="53" t="s">
        <v>173</v>
      </c>
      <c r="C17" s="64"/>
      <c r="D17" s="61"/>
    </row>
    <row r="18" spans="1:11" x14ac:dyDescent="0.2">
      <c r="A18" s="63" t="s">
        <v>235</v>
      </c>
      <c r="B18" s="53" t="s">
        <v>183</v>
      </c>
      <c r="C18" s="64">
        <v>7288.7100000000009</v>
      </c>
      <c r="D18" s="61" t="s">
        <v>236</v>
      </c>
    </row>
    <row r="19" spans="1:11" x14ac:dyDescent="0.2">
      <c r="A19" s="63" t="s">
        <v>235</v>
      </c>
      <c r="B19" s="53" t="s">
        <v>187</v>
      </c>
      <c r="C19" s="64">
        <f>3200+3700</f>
        <v>6900</v>
      </c>
      <c r="D19" s="66" t="s">
        <v>237</v>
      </c>
      <c r="E19" s="66"/>
    </row>
    <row r="20" spans="1:11" x14ac:dyDescent="0.2">
      <c r="A20" s="63" t="s">
        <v>235</v>
      </c>
      <c r="B20" s="53" t="s">
        <v>192</v>
      </c>
      <c r="C20" s="64">
        <f>500+1000</f>
        <v>1500</v>
      </c>
      <c r="D20" s="66" t="s">
        <v>238</v>
      </c>
    </row>
    <row r="21" spans="1:11" x14ac:dyDescent="0.2">
      <c r="A21" s="63" t="s">
        <v>239</v>
      </c>
      <c r="B21" s="53" t="s">
        <v>185</v>
      </c>
      <c r="C21" s="64">
        <f>4669-320</f>
        <v>4349</v>
      </c>
      <c r="D21" s="66" t="s">
        <v>240</v>
      </c>
    </row>
    <row r="22" spans="1:11" x14ac:dyDescent="0.2">
      <c r="A22" s="63" t="s">
        <v>241</v>
      </c>
      <c r="B22" s="53" t="s">
        <v>194</v>
      </c>
      <c r="C22" s="64">
        <v>750</v>
      </c>
      <c r="D22" s="61" t="s">
        <v>242</v>
      </c>
    </row>
    <row r="23" spans="1:11" x14ac:dyDescent="0.2">
      <c r="A23" s="63" t="s">
        <v>241</v>
      </c>
      <c r="B23" s="53" t="s">
        <v>196</v>
      </c>
      <c r="C23" s="64">
        <v>62030.3</v>
      </c>
      <c r="D23" s="61" t="s">
        <v>243</v>
      </c>
    </row>
    <row r="24" spans="1:11" x14ac:dyDescent="0.2">
      <c r="A24" s="63" t="s">
        <v>244</v>
      </c>
      <c r="B24" s="53" t="s">
        <v>194</v>
      </c>
      <c r="C24" s="64">
        <f>450+50</f>
        <v>500</v>
      </c>
      <c r="D24" s="37" t="s">
        <v>245</v>
      </c>
    </row>
    <row r="25" spans="1:11" ht="12" x14ac:dyDescent="0.2">
      <c r="A25" s="67" t="s">
        <v>246</v>
      </c>
      <c r="B25" s="53"/>
      <c r="C25" s="64"/>
      <c r="D25" s="37"/>
    </row>
    <row r="26" spans="1:11" x14ac:dyDescent="0.2">
      <c r="A26" s="63" t="s">
        <v>247</v>
      </c>
      <c r="B26" s="53" t="s">
        <v>183</v>
      </c>
      <c r="C26" s="64">
        <f>10000-3040.84</f>
        <v>6959.16</v>
      </c>
      <c r="D26" s="37" t="s">
        <v>248</v>
      </c>
    </row>
    <row r="27" spans="1:11" x14ac:dyDescent="0.2">
      <c r="A27" s="63" t="s">
        <v>247</v>
      </c>
      <c r="B27" s="53" t="s">
        <v>185</v>
      </c>
      <c r="C27" s="64">
        <f>4669-1727.96</f>
        <v>2941.04</v>
      </c>
      <c r="D27" s="37" t="s">
        <v>249</v>
      </c>
    </row>
    <row r="28" spans="1:11" x14ac:dyDescent="0.2">
      <c r="A28" s="63" t="s">
        <v>247</v>
      </c>
      <c r="B28" s="53" t="s">
        <v>194</v>
      </c>
      <c r="C28" s="64">
        <f>450+50+100</f>
        <v>600</v>
      </c>
      <c r="D28" s="37" t="s">
        <v>250</v>
      </c>
    </row>
    <row r="29" spans="1:11" x14ac:dyDescent="0.2">
      <c r="A29" s="63" t="s">
        <v>247</v>
      </c>
      <c r="B29" s="53" t="s">
        <v>251</v>
      </c>
      <c r="C29" s="64"/>
      <c r="D29" s="61"/>
    </row>
    <row r="30" spans="1:11" x14ac:dyDescent="0.2">
      <c r="A30" s="63" t="s">
        <v>247</v>
      </c>
      <c r="B30" s="53" t="s">
        <v>175</v>
      </c>
      <c r="C30" s="64">
        <v>131945.51</v>
      </c>
      <c r="D30" s="37" t="s">
        <v>252</v>
      </c>
    </row>
    <row r="31" spans="1:11" ht="6.6" customHeight="1" x14ac:dyDescent="0.2">
      <c r="A31" s="63"/>
      <c r="B31" s="53"/>
      <c r="C31" s="64"/>
      <c r="D31" s="61"/>
    </row>
    <row r="32" spans="1:11" x14ac:dyDescent="0.2">
      <c r="A32" s="63"/>
      <c r="B32" s="53"/>
      <c r="C32" s="64"/>
      <c r="D32" s="61"/>
      <c r="J32" s="65" t="s">
        <v>222</v>
      </c>
      <c r="K32" s="57" t="s">
        <v>253</v>
      </c>
    </row>
    <row r="33" spans="1:13" x14ac:dyDescent="0.2">
      <c r="A33" s="63"/>
      <c r="B33" s="53"/>
      <c r="C33" s="64"/>
      <c r="D33" s="61"/>
      <c r="J33" s="68">
        <v>1088.27</v>
      </c>
      <c r="K33" s="57" t="s">
        <v>254</v>
      </c>
    </row>
    <row r="34" spans="1:13" x14ac:dyDescent="0.2">
      <c r="A34" s="63"/>
      <c r="B34" s="53"/>
      <c r="C34" s="64"/>
      <c r="D34" s="61"/>
    </row>
    <row r="35" spans="1:13" x14ac:dyDescent="0.2">
      <c r="A35" s="63"/>
      <c r="B35" s="53"/>
      <c r="C35" s="64"/>
      <c r="D35" s="61"/>
    </row>
    <row r="36" spans="1:13" x14ac:dyDescent="0.2">
      <c r="A36" s="63"/>
      <c r="B36" s="53"/>
      <c r="C36" s="64"/>
      <c r="D36" s="61"/>
      <c r="J36" s="68">
        <v>1000</v>
      </c>
      <c r="K36" s="57" t="s">
        <v>254</v>
      </c>
    </row>
    <row r="37" spans="1:13" x14ac:dyDescent="0.2">
      <c r="A37" s="63"/>
      <c r="B37" s="53"/>
      <c r="C37" s="64"/>
      <c r="D37" s="61"/>
      <c r="J37" s="68">
        <v>12000</v>
      </c>
      <c r="K37" s="57" t="s">
        <v>254</v>
      </c>
    </row>
    <row r="38" spans="1:13" x14ac:dyDescent="0.2">
      <c r="A38" s="63"/>
      <c r="B38" s="53"/>
      <c r="C38" s="64"/>
      <c r="D38" s="61"/>
      <c r="L38" s="66"/>
      <c r="M38" s="66"/>
    </row>
    <row r="39" spans="1:13" x14ac:dyDescent="0.2">
      <c r="A39" s="63"/>
      <c r="B39" s="53"/>
      <c r="C39" s="64"/>
      <c r="D39" s="61"/>
      <c r="J39" s="68">
        <v>10255</v>
      </c>
      <c r="K39" s="57" t="s">
        <v>255</v>
      </c>
      <c r="L39" s="66"/>
      <c r="M39" s="66"/>
    </row>
    <row r="40" spans="1:13" x14ac:dyDescent="0.2">
      <c r="A40" s="63"/>
      <c r="B40" s="53"/>
      <c r="C40" s="64"/>
      <c r="D40" s="61"/>
    </row>
    <row r="41" spans="1:13" x14ac:dyDescent="0.2">
      <c r="A41" s="63"/>
      <c r="B41" s="53"/>
      <c r="C41" s="64"/>
      <c r="D41" s="61"/>
      <c r="J41" s="68">
        <v>4673</v>
      </c>
      <c r="K41" s="57" t="s">
        <v>254</v>
      </c>
    </row>
    <row r="42" spans="1:13" x14ac:dyDescent="0.2">
      <c r="A42" s="63"/>
      <c r="B42" s="53"/>
      <c r="C42" s="64"/>
      <c r="D42" s="61"/>
      <c r="J42" s="68">
        <v>3555.91</v>
      </c>
      <c r="K42" s="57" t="s">
        <v>256</v>
      </c>
    </row>
    <row r="43" spans="1:13" x14ac:dyDescent="0.2">
      <c r="A43" s="63"/>
      <c r="B43" s="53"/>
      <c r="C43" s="64"/>
      <c r="D43" s="61"/>
    </row>
    <row r="44" spans="1:13" x14ac:dyDescent="0.2">
      <c r="A44" s="63"/>
      <c r="B44" s="53"/>
      <c r="C44" s="64"/>
      <c r="D44" s="61"/>
    </row>
    <row r="45" spans="1:13" x14ac:dyDescent="0.2">
      <c r="A45" s="63"/>
      <c r="B45" s="53"/>
      <c r="C45" s="64"/>
      <c r="D45" s="61"/>
      <c r="J45" s="68">
        <v>4211.54</v>
      </c>
      <c r="K45" s="57" t="s">
        <v>254</v>
      </c>
    </row>
    <row r="46" spans="1:13" ht="12" x14ac:dyDescent="0.25">
      <c r="A46" s="63"/>
      <c r="B46" s="53"/>
      <c r="C46" s="64"/>
      <c r="D46" s="61"/>
      <c r="J46" s="69">
        <f>SUM(J33:J45)</f>
        <v>36783.72</v>
      </c>
      <c r="K46" s="62" t="s">
        <v>257</v>
      </c>
    </row>
    <row r="47" spans="1:13" ht="12" x14ac:dyDescent="0.25">
      <c r="A47" s="63" t="s">
        <v>258</v>
      </c>
      <c r="B47" s="53" t="s">
        <v>175</v>
      </c>
      <c r="C47" s="64">
        <f>108972.7+4673+1000+12000+1088.27+4211.54-13</f>
        <v>131932.51</v>
      </c>
      <c r="D47" s="37" t="s">
        <v>259</v>
      </c>
      <c r="J47" s="57"/>
      <c r="L47" s="62"/>
      <c r="M47" s="62"/>
    </row>
    <row r="48" spans="1:13" x14ac:dyDescent="0.2">
      <c r="A48" s="63" t="s">
        <v>258</v>
      </c>
      <c r="B48" s="53" t="s">
        <v>183</v>
      </c>
      <c r="C48" s="64">
        <f>10000-3230.84</f>
        <v>6769.16</v>
      </c>
      <c r="D48" s="37" t="s">
        <v>260</v>
      </c>
    </row>
    <row r="49" spans="1:6" x14ac:dyDescent="0.2">
      <c r="A49" s="63" t="s">
        <v>258</v>
      </c>
      <c r="B49" s="53" t="s">
        <v>194</v>
      </c>
      <c r="C49" s="64">
        <f>450+50+100+50</f>
        <v>650</v>
      </c>
      <c r="D49" s="37" t="s">
        <v>261</v>
      </c>
    </row>
    <row r="50" spans="1:6" x14ac:dyDescent="0.2">
      <c r="A50" s="70" t="s">
        <v>262</v>
      </c>
      <c r="B50" s="57" t="s">
        <v>175</v>
      </c>
      <c r="C50" s="64">
        <f>108972.7+4673+1000+12000+1088.27+4211.54-13-3</f>
        <v>131929.51</v>
      </c>
      <c r="D50" s="37" t="s">
        <v>263</v>
      </c>
      <c r="F50" s="60"/>
    </row>
    <row r="51" spans="1:6" x14ac:dyDescent="0.2">
      <c r="A51" s="70" t="s">
        <v>262</v>
      </c>
      <c r="B51" s="57" t="s">
        <v>183</v>
      </c>
      <c r="C51" s="64">
        <f>10000-3230.84-100</f>
        <v>6669.16</v>
      </c>
      <c r="D51" s="37" t="s">
        <v>264</v>
      </c>
    </row>
    <row r="52" spans="1:6" x14ac:dyDescent="0.2">
      <c r="A52" s="70" t="s">
        <v>262</v>
      </c>
      <c r="B52" s="57" t="s">
        <v>185</v>
      </c>
      <c r="C52" s="64">
        <f>4669-1727.96-1926.5</f>
        <v>1014.54</v>
      </c>
      <c r="D52" s="37" t="s">
        <v>265</v>
      </c>
    </row>
    <row r="53" spans="1:6" x14ac:dyDescent="0.2">
      <c r="A53" s="70" t="s">
        <v>262</v>
      </c>
      <c r="B53" s="57" t="s">
        <v>194</v>
      </c>
      <c r="C53" s="64">
        <f>450+50+100+50-100</f>
        <v>550</v>
      </c>
      <c r="D53" s="37" t="s">
        <v>266</v>
      </c>
    </row>
    <row r="54" spans="1:6" x14ac:dyDescent="0.2">
      <c r="A54" s="57" t="s">
        <v>267</v>
      </c>
      <c r="B54" s="57" t="s">
        <v>172</v>
      </c>
      <c r="C54" s="64">
        <f>5673-4673-350</f>
        <v>650</v>
      </c>
      <c r="D54" s="37" t="s">
        <v>268</v>
      </c>
      <c r="E54" s="65"/>
      <c r="F54" s="65"/>
    </row>
    <row r="55" spans="1:6" x14ac:dyDescent="0.2">
      <c r="A55" s="57" t="s">
        <v>267</v>
      </c>
      <c r="B55" s="57" t="s">
        <v>178</v>
      </c>
      <c r="C55" s="64">
        <f>37500-108</f>
        <v>37392</v>
      </c>
      <c r="D55" s="37" t="s">
        <v>269</v>
      </c>
    </row>
    <row r="56" spans="1:6" x14ac:dyDescent="0.2">
      <c r="A56" s="57" t="s">
        <v>267</v>
      </c>
      <c r="B56" s="53" t="s">
        <v>183</v>
      </c>
      <c r="C56" s="64">
        <f>10000-3230.84-100+156</f>
        <v>6825.16</v>
      </c>
      <c r="D56" s="37" t="s">
        <v>270</v>
      </c>
    </row>
    <row r="57" spans="1:6" x14ac:dyDescent="0.2">
      <c r="A57" s="57" t="s">
        <v>267</v>
      </c>
      <c r="B57" s="53" t="s">
        <v>185</v>
      </c>
      <c r="C57" s="64">
        <f>4669-1727.96-1926.5-156-858.54</f>
        <v>0</v>
      </c>
      <c r="D57" s="37" t="s">
        <v>271</v>
      </c>
    </row>
    <row r="58" spans="1:6" x14ac:dyDescent="0.2">
      <c r="A58" s="57" t="s">
        <v>267</v>
      </c>
      <c r="B58" s="53" t="s">
        <v>198</v>
      </c>
      <c r="C58" s="64">
        <v>3555.91</v>
      </c>
      <c r="D58" s="37" t="s">
        <v>272</v>
      </c>
    </row>
    <row r="59" spans="1:6" x14ac:dyDescent="0.2">
      <c r="A59" s="57" t="s">
        <v>229</v>
      </c>
      <c r="B59" s="57" t="s">
        <v>175</v>
      </c>
      <c r="C59" s="64">
        <f>108972.7+4673+1000+12000+1088.27+4211.54-13-3+10255</f>
        <v>142184.51</v>
      </c>
      <c r="D59" s="37" t="s">
        <v>273</v>
      </c>
    </row>
    <row r="60" spans="1:6" x14ac:dyDescent="0.2">
      <c r="A60" s="57" t="s">
        <v>229</v>
      </c>
      <c r="B60" s="57" t="s">
        <v>227</v>
      </c>
      <c r="C60" s="64">
        <f>12000-1745-10255</f>
        <v>0</v>
      </c>
      <c r="D60" s="37" t="s">
        <v>274</v>
      </c>
    </row>
    <row r="61" spans="1:6" x14ac:dyDescent="0.2">
      <c r="A61" s="57" t="s">
        <v>229</v>
      </c>
      <c r="B61" s="53" t="s">
        <v>194</v>
      </c>
      <c r="C61" s="64">
        <f>450+50+100+50-100+100</f>
        <v>650</v>
      </c>
      <c r="D61" s="37" t="s">
        <v>275</v>
      </c>
    </row>
    <row r="62" spans="1:6" x14ac:dyDescent="0.2">
      <c r="A62" s="57" t="s">
        <v>231</v>
      </c>
      <c r="B62" s="53" t="s">
        <v>175</v>
      </c>
      <c r="C62" s="64">
        <f>108972.7+4673+1000+12000+1088.27+4211.54-13-3+10255-300</f>
        <v>141884.51</v>
      </c>
      <c r="D62" s="37" t="s">
        <v>276</v>
      </c>
    </row>
    <row r="63" spans="1:6" x14ac:dyDescent="0.2">
      <c r="A63" s="57" t="s">
        <v>231</v>
      </c>
      <c r="B63" s="53" t="s">
        <v>187</v>
      </c>
      <c r="C63" s="64">
        <f>3200+3700-50</f>
        <v>6850</v>
      </c>
      <c r="D63" s="37" t="s">
        <v>277</v>
      </c>
    </row>
    <row r="64" spans="1:6" x14ac:dyDescent="0.2">
      <c r="A64" s="57" t="s">
        <v>231</v>
      </c>
      <c r="B64" s="57" t="s">
        <v>278</v>
      </c>
      <c r="C64" s="64">
        <f>108972.7+4673+1000+12000+1088.27+4211.54-13-3+10255-300+12000</f>
        <v>153884.51</v>
      </c>
      <c r="D64" s="37" t="s">
        <v>279</v>
      </c>
    </row>
    <row r="65" spans="1:15" x14ac:dyDescent="0.2">
      <c r="A65" s="57" t="s">
        <v>231</v>
      </c>
      <c r="B65" s="57" t="s">
        <v>280</v>
      </c>
      <c r="C65" s="64">
        <f>500+1000+1000</f>
        <v>2500</v>
      </c>
      <c r="D65" s="37" t="s">
        <v>281</v>
      </c>
    </row>
    <row r="66" spans="1:15" x14ac:dyDescent="0.2">
      <c r="A66" s="57" t="s">
        <v>231</v>
      </c>
      <c r="B66" s="57" t="s">
        <v>189</v>
      </c>
      <c r="C66" s="64">
        <v>3500</v>
      </c>
      <c r="D66" s="37" t="s">
        <v>282</v>
      </c>
    </row>
    <row r="67" spans="1:15" x14ac:dyDescent="0.2">
      <c r="A67" s="57" t="s">
        <v>233</v>
      </c>
      <c r="B67" s="53" t="s">
        <v>181</v>
      </c>
      <c r="C67" s="64">
        <f>37500-966</f>
        <v>36534</v>
      </c>
      <c r="D67" s="37" t="s">
        <v>283</v>
      </c>
    </row>
    <row r="68" spans="1:15" x14ac:dyDescent="0.2">
      <c r="A68" s="57" t="s">
        <v>233</v>
      </c>
      <c r="B68" s="53" t="s">
        <v>185</v>
      </c>
      <c r="C68" s="64">
        <f>3090-1422.9</f>
        <v>1667.1</v>
      </c>
      <c r="D68" s="37" t="s">
        <v>284</v>
      </c>
    </row>
    <row r="69" spans="1:15" x14ac:dyDescent="0.2">
      <c r="A69" s="57" t="s">
        <v>235</v>
      </c>
      <c r="B69" s="57" t="s">
        <v>185</v>
      </c>
      <c r="C69" s="36">
        <f>3090-1422.9-320</f>
        <v>1347.1</v>
      </c>
      <c r="D69" s="38" t="s">
        <v>285</v>
      </c>
    </row>
    <row r="70" spans="1:15" x14ac:dyDescent="0.2">
      <c r="A70" s="57" t="s">
        <v>235</v>
      </c>
      <c r="B70" s="57" t="s">
        <v>187</v>
      </c>
      <c r="C70" s="36">
        <f>3200+3700-50-4035</f>
        <v>2815</v>
      </c>
      <c r="D70" s="38" t="s">
        <v>286</v>
      </c>
    </row>
    <row r="71" spans="1:15" x14ac:dyDescent="0.2">
      <c r="A71" s="57" t="s">
        <v>235</v>
      </c>
      <c r="B71" s="22" t="s">
        <v>196</v>
      </c>
      <c r="C71" s="36">
        <f>62030.3+0.7-1216.74</f>
        <v>60814.26</v>
      </c>
      <c r="D71" s="38" t="s">
        <v>287</v>
      </c>
    </row>
    <row r="72" spans="1:15" x14ac:dyDescent="0.2">
      <c r="A72" s="57" t="s">
        <v>239</v>
      </c>
      <c r="B72" s="22" t="s">
        <v>189</v>
      </c>
      <c r="C72" s="36">
        <f>3500-1800</f>
        <v>1700</v>
      </c>
      <c r="D72" s="38" t="s">
        <v>190</v>
      </c>
      <c r="E72" s="39"/>
    </row>
    <row r="73" spans="1:15" x14ac:dyDescent="0.2">
      <c r="A73" s="57" t="s">
        <v>239</v>
      </c>
      <c r="B73" s="8" t="s">
        <v>178</v>
      </c>
      <c r="C73" s="36">
        <f>37500-108-1095</f>
        <v>36297</v>
      </c>
      <c r="D73" s="38" t="s">
        <v>179</v>
      </c>
      <c r="E73" s="39"/>
    </row>
    <row r="74" spans="1:15" ht="13.2" x14ac:dyDescent="0.2">
      <c r="A74" s="57" t="s">
        <v>239</v>
      </c>
      <c r="B74" s="8" t="s">
        <v>175</v>
      </c>
      <c r="C74" s="36">
        <f>108972.7+4673+1000+12000+1088.27+4211.54-13-3+10255-300+12000+8387.78</f>
        <v>162272.29</v>
      </c>
      <c r="D74" s="37" t="s">
        <v>176</v>
      </c>
      <c r="I74" s="71" t="s">
        <v>2</v>
      </c>
      <c r="J74" s="71" t="s">
        <v>3</v>
      </c>
      <c r="K74" s="71" t="s">
        <v>4</v>
      </c>
      <c r="L74" s="71" t="s">
        <v>5</v>
      </c>
      <c r="M74" s="72" t="s">
        <v>7</v>
      </c>
      <c r="N74" s="72" t="s">
        <v>8</v>
      </c>
      <c r="O74" s="72" t="s">
        <v>9</v>
      </c>
    </row>
    <row r="75" spans="1:15" x14ac:dyDescent="0.2">
      <c r="A75" s="57" t="s">
        <v>241</v>
      </c>
      <c r="B75" s="57" t="s">
        <v>172</v>
      </c>
      <c r="C75" s="36">
        <f>5673-4673-350-650</f>
        <v>0</v>
      </c>
      <c r="D75" s="38" t="s">
        <v>427</v>
      </c>
      <c r="I75" s="12" t="s">
        <v>288</v>
      </c>
      <c r="J75" s="12" t="s">
        <v>289</v>
      </c>
      <c r="K75" s="13">
        <v>45037</v>
      </c>
      <c r="L75" s="12" t="s">
        <v>290</v>
      </c>
      <c r="M75" s="73">
        <v>-6.63</v>
      </c>
      <c r="N75" s="14">
        <v>0</v>
      </c>
      <c r="O75" s="14">
        <v>-6.63</v>
      </c>
    </row>
    <row r="76" spans="1:15" x14ac:dyDescent="0.2">
      <c r="B76" s="8" t="s">
        <v>185</v>
      </c>
      <c r="C76" s="36">
        <f>3090-1422.9-320+320</f>
        <v>1667.1</v>
      </c>
      <c r="D76" s="38" t="s">
        <v>430</v>
      </c>
      <c r="I76" s="12" t="s">
        <v>288</v>
      </c>
      <c r="J76" s="12" t="s">
        <v>289</v>
      </c>
      <c r="K76" s="13">
        <v>45067</v>
      </c>
      <c r="L76" s="12" t="s">
        <v>291</v>
      </c>
      <c r="M76" s="73">
        <v>-6.67</v>
      </c>
      <c r="N76" s="14">
        <v>0</v>
      </c>
      <c r="O76" s="14">
        <v>-6.67</v>
      </c>
    </row>
    <row r="77" spans="1:15" x14ac:dyDescent="0.2">
      <c r="B77" s="8" t="s">
        <v>187</v>
      </c>
      <c r="C77" s="36">
        <f>3200+3700-50-4035-50</f>
        <v>2765</v>
      </c>
      <c r="D77" s="38" t="s">
        <v>428</v>
      </c>
      <c r="I77" s="12" t="s">
        <v>288</v>
      </c>
      <c r="J77" s="12" t="s">
        <v>289</v>
      </c>
      <c r="K77" s="13">
        <v>45098</v>
      </c>
      <c r="L77" s="12" t="s">
        <v>292</v>
      </c>
      <c r="M77" s="73">
        <v>-7.75</v>
      </c>
      <c r="N77" s="14">
        <v>0</v>
      </c>
      <c r="O77" s="14">
        <v>-7.75</v>
      </c>
    </row>
    <row r="78" spans="1:15" x14ac:dyDescent="0.2">
      <c r="B78" s="22" t="s">
        <v>189</v>
      </c>
      <c r="C78" s="36">
        <f>3500-1800-1700</f>
        <v>0</v>
      </c>
      <c r="D78" s="38" t="s">
        <v>429</v>
      </c>
      <c r="I78" s="12" t="s">
        <v>288</v>
      </c>
      <c r="J78" s="12" t="s">
        <v>289</v>
      </c>
      <c r="K78" s="13">
        <v>45128</v>
      </c>
      <c r="L78" s="12" t="s">
        <v>293</v>
      </c>
      <c r="M78" s="73">
        <v>-8.25</v>
      </c>
      <c r="N78" s="14">
        <v>0</v>
      </c>
      <c r="O78" s="14">
        <v>-8.25</v>
      </c>
    </row>
    <row r="79" spans="1:15" x14ac:dyDescent="0.2">
      <c r="I79" s="12" t="s">
        <v>288</v>
      </c>
      <c r="J79" s="12" t="s">
        <v>289</v>
      </c>
      <c r="K79" s="13">
        <v>45132</v>
      </c>
      <c r="L79" s="12" t="s">
        <v>294</v>
      </c>
      <c r="M79" s="73">
        <v>-1.59</v>
      </c>
      <c r="N79" s="14">
        <v>0</v>
      </c>
      <c r="O79" s="14">
        <v>-1.59</v>
      </c>
    </row>
    <row r="80" spans="1:15" x14ac:dyDescent="0.2">
      <c r="I80" s="12" t="s">
        <v>288</v>
      </c>
      <c r="J80" s="12" t="s">
        <v>289</v>
      </c>
      <c r="K80" s="13">
        <v>45199</v>
      </c>
      <c r="L80" s="12" t="s">
        <v>295</v>
      </c>
      <c r="M80" s="73">
        <v>-1604.87</v>
      </c>
      <c r="N80" s="14">
        <v>0</v>
      </c>
      <c r="O80" s="14">
        <v>-1604.87</v>
      </c>
    </row>
    <row r="81" spans="3:15" x14ac:dyDescent="0.2">
      <c r="I81" s="12" t="s">
        <v>288</v>
      </c>
      <c r="J81" s="12" t="s">
        <v>289</v>
      </c>
      <c r="K81" s="13">
        <v>45291</v>
      </c>
      <c r="L81" s="12" t="s">
        <v>295</v>
      </c>
      <c r="M81" s="73">
        <v>-2575.7800000000002</v>
      </c>
      <c r="N81" s="14">
        <v>0</v>
      </c>
      <c r="O81" s="14">
        <v>-2575.7800000000002</v>
      </c>
    </row>
    <row r="82" spans="3:15" x14ac:dyDescent="0.2">
      <c r="C82" s="64"/>
      <c r="D82" s="37"/>
      <c r="I82" s="12" t="s">
        <v>288</v>
      </c>
      <c r="J82" s="12" t="s">
        <v>289</v>
      </c>
      <c r="K82" s="13">
        <v>45382</v>
      </c>
      <c r="L82" s="12" t="s">
        <v>295</v>
      </c>
      <c r="M82" s="74">
        <v>-2661.96</v>
      </c>
      <c r="N82" s="14">
        <v>0</v>
      </c>
      <c r="O82" s="14">
        <v>-2661.96</v>
      </c>
    </row>
    <row r="83" spans="3:15" x14ac:dyDescent="0.2">
      <c r="C83" s="64"/>
      <c r="D83" s="37"/>
      <c r="I83" s="12" t="s">
        <v>288</v>
      </c>
      <c r="J83" s="12" t="s">
        <v>289</v>
      </c>
      <c r="K83" s="13">
        <v>45473</v>
      </c>
      <c r="L83" s="12" t="s">
        <v>295</v>
      </c>
      <c r="M83" s="74">
        <v>-2876.54</v>
      </c>
      <c r="N83" s="14">
        <v>0</v>
      </c>
      <c r="O83" s="14">
        <v>-2876.54</v>
      </c>
    </row>
    <row r="84" spans="3:15" x14ac:dyDescent="0.2">
      <c r="C84" s="64"/>
      <c r="D84" s="37"/>
      <c r="I84" s="12" t="s">
        <v>288</v>
      </c>
      <c r="J84" s="12" t="s">
        <v>289</v>
      </c>
      <c r="K84" s="13">
        <v>45565</v>
      </c>
      <c r="L84" s="12" t="s">
        <v>295</v>
      </c>
      <c r="M84" s="74">
        <v>-2849.28</v>
      </c>
      <c r="N84" s="14">
        <v>0</v>
      </c>
      <c r="O84" s="14">
        <v>-2849.28</v>
      </c>
    </row>
    <row r="85" spans="3:15" x14ac:dyDescent="0.2">
      <c r="C85" s="64"/>
      <c r="D85" s="37"/>
      <c r="M85" s="75">
        <f>SUM(M82:M84)</f>
        <v>-8387.7800000000007</v>
      </c>
    </row>
    <row r="86" spans="3:15" x14ac:dyDescent="0.2">
      <c r="C86" s="64"/>
      <c r="D86" s="37"/>
    </row>
    <row r="87" spans="3:15" x14ac:dyDescent="0.2">
      <c r="C87" s="64"/>
      <c r="D87" s="37"/>
    </row>
    <row r="88" spans="3:15" x14ac:dyDescent="0.2">
      <c r="C88" s="64"/>
      <c r="D88" s="37"/>
    </row>
    <row r="89" spans="3:15" x14ac:dyDescent="0.2">
      <c r="C89" s="64"/>
      <c r="D89" s="37"/>
    </row>
    <row r="90" spans="3:15" x14ac:dyDescent="0.2">
      <c r="C90" s="64"/>
      <c r="D90" s="37"/>
    </row>
    <row r="91" spans="3:15" x14ac:dyDescent="0.2">
      <c r="C91" s="64"/>
      <c r="D91" s="37"/>
    </row>
    <row r="92" spans="3:15" x14ac:dyDescent="0.2">
      <c r="C92" s="64"/>
      <c r="D92" s="37"/>
    </row>
    <row r="93" spans="3:15" x14ac:dyDescent="0.2">
      <c r="C93" s="64"/>
      <c r="D93" s="37"/>
    </row>
    <row r="94" spans="3:15" x14ac:dyDescent="0.2">
      <c r="C94" s="64"/>
      <c r="D94" s="37"/>
    </row>
    <row r="95" spans="3:15" x14ac:dyDescent="0.2">
      <c r="C95" s="64"/>
      <c r="D95" s="37"/>
    </row>
    <row r="96" spans="3:15" x14ac:dyDescent="0.2">
      <c r="C96" s="64"/>
      <c r="D96" s="37"/>
    </row>
    <row r="97" spans="3:4" x14ac:dyDescent="0.2">
      <c r="C97" s="64"/>
      <c r="D97" s="37"/>
    </row>
    <row r="98" spans="3:4" x14ac:dyDescent="0.2">
      <c r="C98" s="64"/>
      <c r="D98" s="37"/>
    </row>
    <row r="99" spans="3:4" x14ac:dyDescent="0.2">
      <c r="C99" s="64"/>
      <c r="D99" s="37"/>
    </row>
    <row r="100" spans="3:4" x14ac:dyDescent="0.2">
      <c r="C100" s="64"/>
      <c r="D100" s="37"/>
    </row>
    <row r="101" spans="3:4" x14ac:dyDescent="0.2">
      <c r="C101" s="64"/>
      <c r="D101" s="37"/>
    </row>
    <row r="102" spans="3:4" x14ac:dyDescent="0.2">
      <c r="C102" s="64"/>
      <c r="D102" s="37"/>
    </row>
    <row r="103" spans="3:4" x14ac:dyDescent="0.2">
      <c r="C103" s="64"/>
      <c r="D103" s="37"/>
    </row>
    <row r="104" spans="3:4" x14ac:dyDescent="0.2">
      <c r="C104" s="64"/>
      <c r="D104" s="37"/>
    </row>
    <row r="105" spans="3:4" x14ac:dyDescent="0.2">
      <c r="C105" s="64"/>
      <c r="D105" s="37"/>
    </row>
    <row r="106" spans="3:4" x14ac:dyDescent="0.2">
      <c r="C106" s="64"/>
      <c r="D106" s="37"/>
    </row>
    <row r="107" spans="3:4" x14ac:dyDescent="0.2">
      <c r="C107" s="64"/>
      <c r="D107" s="37"/>
    </row>
    <row r="108" spans="3:4" x14ac:dyDescent="0.2">
      <c r="C108" s="64"/>
      <c r="D108" s="37"/>
    </row>
    <row r="109" spans="3:4" x14ac:dyDescent="0.2">
      <c r="C109" s="64"/>
      <c r="D109" s="37"/>
    </row>
    <row r="110" spans="3:4" x14ac:dyDescent="0.2">
      <c r="C110" s="64"/>
      <c r="D110" s="3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362B-D561-4C11-9830-2C9DDF7E025D}">
  <dimension ref="A1:N126"/>
  <sheetViews>
    <sheetView workbookViewId="0">
      <pane xSplit="1" ySplit="7" topLeftCell="B111" activePane="bottomRight" state="frozen"/>
      <selection activeCell="B87" sqref="B87"/>
      <selection pane="topRight" activeCell="B87" sqref="B87"/>
      <selection pane="bottomLeft" activeCell="B87" sqref="B87"/>
      <selection pane="bottomRight" activeCell="B87" sqref="B87"/>
    </sheetView>
  </sheetViews>
  <sheetFormatPr defaultRowHeight="11.4" x14ac:dyDescent="0.2"/>
  <cols>
    <col min="1" max="1" width="35" style="53" customWidth="1"/>
    <col min="2" max="14" width="11.125" style="53" customWidth="1"/>
    <col min="15" max="15" width="10.875" style="53" bestFit="1" customWidth="1"/>
    <col min="16" max="256" width="9" style="53"/>
    <col min="257" max="257" width="26.875" style="53" customWidth="1"/>
    <col min="258" max="270" width="16.125" style="53" customWidth="1"/>
    <col min="271" max="512" width="9" style="53"/>
    <col min="513" max="513" width="26.875" style="53" customWidth="1"/>
    <col min="514" max="526" width="16.125" style="53" customWidth="1"/>
    <col min="527" max="768" width="9" style="53"/>
    <col min="769" max="769" width="26.875" style="53" customWidth="1"/>
    <col min="770" max="782" width="16.125" style="53" customWidth="1"/>
    <col min="783" max="1024" width="9" style="53"/>
    <col min="1025" max="1025" width="26.875" style="53" customWidth="1"/>
    <col min="1026" max="1038" width="16.125" style="53" customWidth="1"/>
    <col min="1039" max="1280" width="9" style="53"/>
    <col min="1281" max="1281" width="26.875" style="53" customWidth="1"/>
    <col min="1282" max="1294" width="16.125" style="53" customWidth="1"/>
    <col min="1295" max="1536" width="9" style="53"/>
    <col min="1537" max="1537" width="26.875" style="53" customWidth="1"/>
    <col min="1538" max="1550" width="16.125" style="53" customWidth="1"/>
    <col min="1551" max="1792" width="9" style="53"/>
    <col min="1793" max="1793" width="26.875" style="53" customWidth="1"/>
    <col min="1794" max="1806" width="16.125" style="53" customWidth="1"/>
    <col min="1807" max="2048" width="9" style="53"/>
    <col min="2049" max="2049" width="26.875" style="53" customWidth="1"/>
    <col min="2050" max="2062" width="16.125" style="53" customWidth="1"/>
    <col min="2063" max="2304" width="9" style="53"/>
    <col min="2305" max="2305" width="26.875" style="53" customWidth="1"/>
    <col min="2306" max="2318" width="16.125" style="53" customWidth="1"/>
    <col min="2319" max="2560" width="9" style="53"/>
    <col min="2561" max="2561" width="26.875" style="53" customWidth="1"/>
    <col min="2562" max="2574" width="16.125" style="53" customWidth="1"/>
    <col min="2575" max="2816" width="9" style="53"/>
    <col min="2817" max="2817" width="26.875" style="53" customWidth="1"/>
    <col min="2818" max="2830" width="16.125" style="53" customWidth="1"/>
    <col min="2831" max="3072" width="9" style="53"/>
    <col min="3073" max="3073" width="26.875" style="53" customWidth="1"/>
    <col min="3074" max="3086" width="16.125" style="53" customWidth="1"/>
    <col min="3087" max="3328" width="9" style="53"/>
    <col min="3329" max="3329" width="26.875" style="53" customWidth="1"/>
    <col min="3330" max="3342" width="16.125" style="53" customWidth="1"/>
    <col min="3343" max="3584" width="9" style="53"/>
    <col min="3585" max="3585" width="26.875" style="53" customWidth="1"/>
    <col min="3586" max="3598" width="16.125" style="53" customWidth="1"/>
    <col min="3599" max="3840" width="9" style="53"/>
    <col min="3841" max="3841" width="26.875" style="53" customWidth="1"/>
    <col min="3842" max="3854" width="16.125" style="53" customWidth="1"/>
    <col min="3855" max="4096" width="9" style="53"/>
    <col min="4097" max="4097" width="26.875" style="53" customWidth="1"/>
    <col min="4098" max="4110" width="16.125" style="53" customWidth="1"/>
    <col min="4111" max="4352" width="9" style="53"/>
    <col min="4353" max="4353" width="26.875" style="53" customWidth="1"/>
    <col min="4354" max="4366" width="16.125" style="53" customWidth="1"/>
    <col min="4367" max="4608" width="9" style="53"/>
    <col min="4609" max="4609" width="26.875" style="53" customWidth="1"/>
    <col min="4610" max="4622" width="16.125" style="53" customWidth="1"/>
    <col min="4623" max="4864" width="9" style="53"/>
    <col min="4865" max="4865" width="26.875" style="53" customWidth="1"/>
    <col min="4866" max="4878" width="16.125" style="53" customWidth="1"/>
    <col min="4879" max="5120" width="9" style="53"/>
    <col min="5121" max="5121" width="26.875" style="53" customWidth="1"/>
    <col min="5122" max="5134" width="16.125" style="53" customWidth="1"/>
    <col min="5135" max="5376" width="9" style="53"/>
    <col min="5377" max="5377" width="26.875" style="53" customWidth="1"/>
    <col min="5378" max="5390" width="16.125" style="53" customWidth="1"/>
    <col min="5391" max="5632" width="9" style="53"/>
    <col min="5633" max="5633" width="26.875" style="53" customWidth="1"/>
    <col min="5634" max="5646" width="16.125" style="53" customWidth="1"/>
    <col min="5647" max="5888" width="9" style="53"/>
    <col min="5889" max="5889" width="26.875" style="53" customWidth="1"/>
    <col min="5890" max="5902" width="16.125" style="53" customWidth="1"/>
    <col min="5903" max="6144" width="9" style="53"/>
    <col min="6145" max="6145" width="26.875" style="53" customWidth="1"/>
    <col min="6146" max="6158" width="16.125" style="53" customWidth="1"/>
    <col min="6159" max="6400" width="9" style="53"/>
    <col min="6401" max="6401" width="26.875" style="53" customWidth="1"/>
    <col min="6402" max="6414" width="16.125" style="53" customWidth="1"/>
    <col min="6415" max="6656" width="9" style="53"/>
    <col min="6657" max="6657" width="26.875" style="53" customWidth="1"/>
    <col min="6658" max="6670" width="16.125" style="53" customWidth="1"/>
    <col min="6671" max="6912" width="9" style="53"/>
    <col min="6913" max="6913" width="26.875" style="53" customWidth="1"/>
    <col min="6914" max="6926" width="16.125" style="53" customWidth="1"/>
    <col min="6927" max="7168" width="9" style="53"/>
    <col min="7169" max="7169" width="26.875" style="53" customWidth="1"/>
    <col min="7170" max="7182" width="16.125" style="53" customWidth="1"/>
    <col min="7183" max="7424" width="9" style="53"/>
    <col min="7425" max="7425" width="26.875" style="53" customWidth="1"/>
    <col min="7426" max="7438" width="16.125" style="53" customWidth="1"/>
    <col min="7439" max="7680" width="9" style="53"/>
    <col min="7681" max="7681" width="26.875" style="53" customWidth="1"/>
    <col min="7682" max="7694" width="16.125" style="53" customWidth="1"/>
    <col min="7695" max="7936" width="9" style="53"/>
    <col min="7937" max="7937" width="26.875" style="53" customWidth="1"/>
    <col min="7938" max="7950" width="16.125" style="53" customWidth="1"/>
    <col min="7951" max="8192" width="9" style="53"/>
    <col min="8193" max="8193" width="26.875" style="53" customWidth="1"/>
    <col min="8194" max="8206" width="16.125" style="53" customWidth="1"/>
    <col min="8207" max="8448" width="9" style="53"/>
    <col min="8449" max="8449" width="26.875" style="53" customWidth="1"/>
    <col min="8450" max="8462" width="16.125" style="53" customWidth="1"/>
    <col min="8463" max="8704" width="9" style="53"/>
    <col min="8705" max="8705" width="26.875" style="53" customWidth="1"/>
    <col min="8706" max="8718" width="16.125" style="53" customWidth="1"/>
    <col min="8719" max="8960" width="9" style="53"/>
    <col min="8961" max="8961" width="26.875" style="53" customWidth="1"/>
    <col min="8962" max="8974" width="16.125" style="53" customWidth="1"/>
    <col min="8975" max="9216" width="9" style="53"/>
    <col min="9217" max="9217" width="26.875" style="53" customWidth="1"/>
    <col min="9218" max="9230" width="16.125" style="53" customWidth="1"/>
    <col min="9231" max="9472" width="9" style="53"/>
    <col min="9473" max="9473" width="26.875" style="53" customWidth="1"/>
    <col min="9474" max="9486" width="16.125" style="53" customWidth="1"/>
    <col min="9487" max="9728" width="9" style="53"/>
    <col min="9729" max="9729" width="26.875" style="53" customWidth="1"/>
    <col min="9730" max="9742" width="16.125" style="53" customWidth="1"/>
    <col min="9743" max="9984" width="9" style="53"/>
    <col min="9985" max="9985" width="26.875" style="53" customWidth="1"/>
    <col min="9986" max="9998" width="16.125" style="53" customWidth="1"/>
    <col min="9999" max="10240" width="9" style="53"/>
    <col min="10241" max="10241" width="26.875" style="53" customWidth="1"/>
    <col min="10242" max="10254" width="16.125" style="53" customWidth="1"/>
    <col min="10255" max="10496" width="9" style="53"/>
    <col min="10497" max="10497" width="26.875" style="53" customWidth="1"/>
    <col min="10498" max="10510" width="16.125" style="53" customWidth="1"/>
    <col min="10511" max="10752" width="9" style="53"/>
    <col min="10753" max="10753" width="26.875" style="53" customWidth="1"/>
    <col min="10754" max="10766" width="16.125" style="53" customWidth="1"/>
    <col min="10767" max="11008" width="9" style="53"/>
    <col min="11009" max="11009" width="26.875" style="53" customWidth="1"/>
    <col min="11010" max="11022" width="16.125" style="53" customWidth="1"/>
    <col min="11023" max="11264" width="9" style="53"/>
    <col min="11265" max="11265" width="26.875" style="53" customWidth="1"/>
    <col min="11266" max="11278" width="16.125" style="53" customWidth="1"/>
    <col min="11279" max="11520" width="9" style="53"/>
    <col min="11521" max="11521" width="26.875" style="53" customWidth="1"/>
    <col min="11522" max="11534" width="16.125" style="53" customWidth="1"/>
    <col min="11535" max="11776" width="9" style="53"/>
    <col min="11777" max="11777" width="26.875" style="53" customWidth="1"/>
    <col min="11778" max="11790" width="16.125" style="53" customWidth="1"/>
    <col min="11791" max="12032" width="9" style="53"/>
    <col min="12033" max="12033" width="26.875" style="53" customWidth="1"/>
    <col min="12034" max="12046" width="16.125" style="53" customWidth="1"/>
    <col min="12047" max="12288" width="9" style="53"/>
    <col min="12289" max="12289" width="26.875" style="53" customWidth="1"/>
    <col min="12290" max="12302" width="16.125" style="53" customWidth="1"/>
    <col min="12303" max="12544" width="9" style="53"/>
    <col min="12545" max="12545" width="26.875" style="53" customWidth="1"/>
    <col min="12546" max="12558" width="16.125" style="53" customWidth="1"/>
    <col min="12559" max="12800" width="9" style="53"/>
    <col min="12801" max="12801" width="26.875" style="53" customWidth="1"/>
    <col min="12802" max="12814" width="16.125" style="53" customWidth="1"/>
    <col min="12815" max="13056" width="9" style="53"/>
    <col min="13057" max="13057" width="26.875" style="53" customWidth="1"/>
    <col min="13058" max="13070" width="16.125" style="53" customWidth="1"/>
    <col min="13071" max="13312" width="9" style="53"/>
    <col min="13313" max="13313" width="26.875" style="53" customWidth="1"/>
    <col min="13314" max="13326" width="16.125" style="53" customWidth="1"/>
    <col min="13327" max="13568" width="9" style="53"/>
    <col min="13569" max="13569" width="26.875" style="53" customWidth="1"/>
    <col min="13570" max="13582" width="16.125" style="53" customWidth="1"/>
    <col min="13583" max="13824" width="9" style="53"/>
    <col min="13825" max="13825" width="26.875" style="53" customWidth="1"/>
    <col min="13826" max="13838" width="16.125" style="53" customWidth="1"/>
    <col min="13839" max="14080" width="9" style="53"/>
    <col min="14081" max="14081" width="26.875" style="53" customWidth="1"/>
    <col min="14082" max="14094" width="16.125" style="53" customWidth="1"/>
    <col min="14095" max="14336" width="9" style="53"/>
    <col min="14337" max="14337" width="26.875" style="53" customWidth="1"/>
    <col min="14338" max="14350" width="16.125" style="53" customWidth="1"/>
    <col min="14351" max="14592" width="9" style="53"/>
    <col min="14593" max="14593" width="26.875" style="53" customWidth="1"/>
    <col min="14594" max="14606" width="16.125" style="53" customWidth="1"/>
    <col min="14607" max="14848" width="9" style="53"/>
    <col min="14849" max="14849" width="26.875" style="53" customWidth="1"/>
    <col min="14850" max="14862" width="16.125" style="53" customWidth="1"/>
    <col min="14863" max="15104" width="9" style="53"/>
    <col min="15105" max="15105" width="26.875" style="53" customWidth="1"/>
    <col min="15106" max="15118" width="16.125" style="53" customWidth="1"/>
    <col min="15119" max="15360" width="9" style="53"/>
    <col min="15361" max="15361" width="26.875" style="53" customWidth="1"/>
    <col min="15362" max="15374" width="16.125" style="53" customWidth="1"/>
    <col min="15375" max="15616" width="9" style="53"/>
    <col min="15617" max="15617" width="26.875" style="53" customWidth="1"/>
    <col min="15618" max="15630" width="16.125" style="53" customWidth="1"/>
    <col min="15631" max="15872" width="9" style="53"/>
    <col min="15873" max="15873" width="26.875" style="53" customWidth="1"/>
    <col min="15874" max="15886" width="16.125" style="53" customWidth="1"/>
    <col min="15887" max="16128" width="9" style="53"/>
    <col min="16129" max="16129" width="26.875" style="53" customWidth="1"/>
    <col min="16130" max="16142" width="16.125" style="53" customWidth="1"/>
    <col min="16143" max="16384" width="9" style="53"/>
  </cols>
  <sheetData>
    <row r="1" spans="1:14" ht="12.75" customHeight="1" x14ac:dyDescent="0.2">
      <c r="A1" s="94" t="s">
        <v>296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2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2.75" customHeight="1" x14ac:dyDescent="0.2">
      <c r="A3" s="95" t="s">
        <v>297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2.75" customHeight="1" x14ac:dyDescent="0.2"/>
    <row r="5" spans="1:14" ht="12.75" customHeight="1" x14ac:dyDescent="0.2">
      <c r="A5" s="76" t="s">
        <v>3</v>
      </c>
      <c r="B5" s="77">
        <v>45383</v>
      </c>
      <c r="C5" s="77">
        <v>45413</v>
      </c>
      <c r="D5" s="77">
        <v>45444</v>
      </c>
      <c r="E5" s="77">
        <v>45474</v>
      </c>
      <c r="F5" s="77">
        <v>45505</v>
      </c>
      <c r="G5" s="77">
        <v>45536</v>
      </c>
      <c r="H5" s="77">
        <v>45566</v>
      </c>
      <c r="I5" s="77">
        <v>45597</v>
      </c>
      <c r="J5" s="77">
        <v>45627</v>
      </c>
      <c r="K5" s="77">
        <v>45658</v>
      </c>
      <c r="L5" s="77">
        <v>45689</v>
      </c>
      <c r="M5" s="77">
        <v>45717</v>
      </c>
      <c r="N5" s="76" t="s">
        <v>104</v>
      </c>
    </row>
    <row r="6" spans="1:14" ht="12.75" customHeight="1" x14ac:dyDescent="0.2"/>
    <row r="7" spans="1:14" ht="12.75" customHeight="1" x14ac:dyDescent="0.2">
      <c r="A7" s="78" t="s">
        <v>298</v>
      </c>
    </row>
    <row r="8" spans="1:14" ht="12.75" customHeight="1" x14ac:dyDescent="0.2">
      <c r="A8" s="79" t="s">
        <v>299</v>
      </c>
      <c r="B8" s="79">
        <v>80000</v>
      </c>
      <c r="C8" s="79">
        <v>0</v>
      </c>
      <c r="D8" s="79">
        <v>0</v>
      </c>
      <c r="E8" s="79">
        <v>0</v>
      </c>
      <c r="F8" s="79">
        <v>0</v>
      </c>
      <c r="G8" s="79">
        <v>80000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160000</v>
      </c>
    </row>
    <row r="9" spans="1:14" ht="12.75" customHeight="1" x14ac:dyDescent="0.2">
      <c r="A9" s="79" t="s">
        <v>300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</row>
    <row r="10" spans="1:14" ht="12.75" customHeight="1" x14ac:dyDescent="0.2">
      <c r="A10" s="79" t="s">
        <v>301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</row>
    <row r="11" spans="1:14" ht="12.75" customHeight="1" x14ac:dyDescent="0.2">
      <c r="A11" s="79" t="s">
        <v>302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</row>
    <row r="12" spans="1:14" ht="12.75" customHeight="1" x14ac:dyDescent="0.2">
      <c r="A12" s="79" t="s">
        <v>303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110</v>
      </c>
      <c r="J12" s="79">
        <v>100</v>
      </c>
      <c r="K12" s="79">
        <v>100</v>
      </c>
      <c r="L12" s="79">
        <v>0</v>
      </c>
      <c r="M12" s="79">
        <v>0</v>
      </c>
      <c r="N12" s="79">
        <v>310</v>
      </c>
    </row>
    <row r="13" spans="1:14" ht="12.75" customHeight="1" x14ac:dyDescent="0.2">
      <c r="A13" s="79" t="s">
        <v>304</v>
      </c>
      <c r="B13" s="79">
        <v>225</v>
      </c>
      <c r="C13" s="79">
        <v>225</v>
      </c>
      <c r="D13" s="79">
        <v>225</v>
      </c>
      <c r="E13" s="79">
        <v>225</v>
      </c>
      <c r="F13" s="79">
        <v>225</v>
      </c>
      <c r="G13" s="79">
        <v>225</v>
      </c>
      <c r="H13" s="79">
        <v>225</v>
      </c>
      <c r="I13" s="79">
        <v>225</v>
      </c>
      <c r="J13" s="79">
        <v>225</v>
      </c>
      <c r="K13" s="79">
        <v>225</v>
      </c>
      <c r="L13" s="79">
        <v>225</v>
      </c>
      <c r="M13" s="79">
        <v>225</v>
      </c>
      <c r="N13" s="79">
        <v>2700</v>
      </c>
    </row>
    <row r="14" spans="1:14" ht="12.75" customHeight="1" x14ac:dyDescent="0.2">
      <c r="A14" s="79" t="s">
        <v>305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12</v>
      </c>
      <c r="L14" s="79">
        <v>0</v>
      </c>
      <c r="M14" s="79">
        <v>0</v>
      </c>
      <c r="N14" s="79">
        <v>12</v>
      </c>
    </row>
    <row r="15" spans="1:14" ht="12.75" customHeight="1" x14ac:dyDescent="0.2">
      <c r="A15" s="79" t="s">
        <v>306</v>
      </c>
      <c r="B15" s="79">
        <v>0</v>
      </c>
      <c r="C15" s="79">
        <v>0</v>
      </c>
      <c r="D15" s="79">
        <v>30</v>
      </c>
      <c r="E15" s="79">
        <v>0</v>
      </c>
      <c r="F15" s="79">
        <v>0</v>
      </c>
      <c r="G15" s="79">
        <v>30</v>
      </c>
      <c r="H15" s="79">
        <v>0</v>
      </c>
      <c r="I15" s="79">
        <v>0</v>
      </c>
      <c r="J15" s="79">
        <v>30</v>
      </c>
      <c r="K15" s="79">
        <v>0</v>
      </c>
      <c r="L15" s="79">
        <v>0</v>
      </c>
      <c r="M15" s="79">
        <v>30</v>
      </c>
      <c r="N15" s="79">
        <v>120</v>
      </c>
    </row>
    <row r="16" spans="1:14" ht="12.75" customHeight="1" x14ac:dyDescent="0.2">
      <c r="A16" s="79" t="s">
        <v>307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1:14" ht="12.75" customHeight="1" x14ac:dyDescent="0.2">
      <c r="A17" s="79" t="s">
        <v>308</v>
      </c>
      <c r="B17" s="79">
        <v>1331</v>
      </c>
      <c r="C17" s="79">
        <v>0</v>
      </c>
      <c r="D17" s="79">
        <v>0</v>
      </c>
      <c r="E17" s="79">
        <v>0</v>
      </c>
      <c r="F17" s="79">
        <v>0</v>
      </c>
      <c r="G17" s="79">
        <v>1332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2663</v>
      </c>
    </row>
    <row r="18" spans="1:14" ht="12.75" customHeight="1" x14ac:dyDescent="0.2">
      <c r="A18" s="79" t="s">
        <v>309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1:14" ht="12.75" customHeight="1" x14ac:dyDescent="0.2">
      <c r="A19" s="79" t="s">
        <v>310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</row>
    <row r="20" spans="1:14" ht="12.75" customHeight="1" x14ac:dyDescent="0.2">
      <c r="A20" s="79" t="s">
        <v>311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1:14" ht="12.75" customHeight="1" x14ac:dyDescent="0.2">
      <c r="A21" s="79" t="s">
        <v>312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</row>
    <row r="22" spans="1:14" ht="12.75" customHeight="1" x14ac:dyDescent="0.2">
      <c r="A22" s="79" t="s">
        <v>313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2.75" customHeight="1" x14ac:dyDescent="0.2">
      <c r="A23" s="79" t="s">
        <v>314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1:14" ht="12.75" customHeight="1" x14ac:dyDescent="0.2">
      <c r="A24" s="79" t="s">
        <v>315</v>
      </c>
      <c r="B24" s="79">
        <v>0</v>
      </c>
      <c r="C24" s="79">
        <v>0</v>
      </c>
      <c r="D24" s="79">
        <v>1500</v>
      </c>
      <c r="E24" s="79">
        <v>0</v>
      </c>
      <c r="F24" s="79">
        <v>0</v>
      </c>
      <c r="G24" s="79">
        <v>1500</v>
      </c>
      <c r="H24" s="79">
        <v>0</v>
      </c>
      <c r="I24" s="79">
        <v>0</v>
      </c>
      <c r="J24" s="79">
        <v>1500</v>
      </c>
      <c r="K24" s="79">
        <v>0</v>
      </c>
      <c r="L24" s="79">
        <v>0</v>
      </c>
      <c r="M24" s="79">
        <v>1500</v>
      </c>
      <c r="N24" s="79">
        <v>6000</v>
      </c>
    </row>
    <row r="25" spans="1:14" ht="12.75" customHeight="1" x14ac:dyDescent="0.2">
      <c r="A25" s="79" t="s">
        <v>316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1:14" ht="12.75" customHeight="1" x14ac:dyDescent="0.2">
      <c r="A26" s="79" t="s">
        <v>317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</row>
    <row r="27" spans="1:14" ht="12.75" customHeight="1" x14ac:dyDescent="0.2">
      <c r="A27" s="79" t="s">
        <v>318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</row>
    <row r="28" spans="1:14" ht="12.75" customHeight="1" x14ac:dyDescent="0.2">
      <c r="A28" s="79" t="s">
        <v>319</v>
      </c>
      <c r="B28" s="79">
        <v>189</v>
      </c>
      <c r="C28" s="79">
        <v>189</v>
      </c>
      <c r="D28" s="79">
        <v>0</v>
      </c>
      <c r="E28" s="79">
        <v>0</v>
      </c>
      <c r="F28" s="79">
        <v>0</v>
      </c>
      <c r="G28" s="79">
        <v>189</v>
      </c>
      <c r="H28" s="79">
        <v>189</v>
      </c>
      <c r="I28" s="79">
        <v>189</v>
      </c>
      <c r="J28" s="79">
        <v>189</v>
      </c>
      <c r="K28" s="79">
        <v>189</v>
      </c>
      <c r="L28" s="79">
        <v>189</v>
      </c>
      <c r="M28" s="79">
        <v>188</v>
      </c>
      <c r="N28" s="79">
        <v>1700</v>
      </c>
    </row>
    <row r="29" spans="1:14" ht="12.75" customHeight="1" x14ac:dyDescent="0.2">
      <c r="A29" s="79" t="s">
        <v>320</v>
      </c>
      <c r="B29" s="79">
        <v>24</v>
      </c>
      <c r="C29" s="79">
        <v>24</v>
      </c>
      <c r="D29" s="79">
        <v>24</v>
      </c>
      <c r="E29" s="79">
        <v>24</v>
      </c>
      <c r="F29" s="79">
        <v>23</v>
      </c>
      <c r="G29" s="79">
        <v>23</v>
      </c>
      <c r="H29" s="79">
        <v>23</v>
      </c>
      <c r="I29" s="79">
        <v>23</v>
      </c>
      <c r="J29" s="79">
        <v>23</v>
      </c>
      <c r="K29" s="79">
        <v>23</v>
      </c>
      <c r="L29" s="79">
        <v>23</v>
      </c>
      <c r="M29" s="79">
        <v>23</v>
      </c>
      <c r="N29" s="79">
        <v>280</v>
      </c>
    </row>
    <row r="30" spans="1:14" ht="12.75" customHeight="1" x14ac:dyDescent="0.2">
      <c r="A30" s="79" t="s">
        <v>321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</row>
    <row r="31" spans="1:14" ht="12.75" customHeight="1" x14ac:dyDescent="0.2">
      <c r="A31" s="79" t="s">
        <v>322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</row>
    <row r="32" spans="1:14" ht="12.75" customHeight="1" x14ac:dyDescent="0.2">
      <c r="A32" s="79" t="s">
        <v>323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</row>
    <row r="33" spans="1:14" ht="12.75" customHeight="1" x14ac:dyDescent="0.2">
      <c r="A33" s="79" t="s">
        <v>324</v>
      </c>
      <c r="B33" s="79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525</v>
      </c>
      <c r="K33" s="79">
        <v>0</v>
      </c>
      <c r="L33" s="79">
        <v>0</v>
      </c>
      <c r="M33" s="79">
        <v>0</v>
      </c>
      <c r="N33" s="79">
        <v>525</v>
      </c>
    </row>
    <row r="34" spans="1:14" ht="12.75" customHeight="1" x14ac:dyDescent="0.2">
      <c r="A34" s="80" t="s">
        <v>325</v>
      </c>
      <c r="B34" s="81">
        <v>81769</v>
      </c>
      <c r="C34" s="81">
        <v>438</v>
      </c>
      <c r="D34" s="81">
        <v>1779</v>
      </c>
      <c r="E34" s="81">
        <v>249</v>
      </c>
      <c r="F34" s="81">
        <v>248</v>
      </c>
      <c r="G34" s="81">
        <v>83299</v>
      </c>
      <c r="H34" s="81">
        <v>437</v>
      </c>
      <c r="I34" s="81">
        <v>547</v>
      </c>
      <c r="J34" s="81">
        <v>2592</v>
      </c>
      <c r="K34" s="81">
        <v>549</v>
      </c>
      <c r="L34" s="81">
        <v>437</v>
      </c>
      <c r="M34" s="81">
        <v>1966</v>
      </c>
      <c r="N34" s="82">
        <v>174310</v>
      </c>
    </row>
    <row r="35" spans="1:14" ht="12.75" customHeight="1" x14ac:dyDescent="0.2"/>
    <row r="36" spans="1:14" ht="12.75" customHeight="1" thickBot="1" x14ac:dyDescent="0.25">
      <c r="A36" s="83" t="s">
        <v>326</v>
      </c>
      <c r="B36" s="84">
        <v>81769</v>
      </c>
      <c r="C36" s="84">
        <v>438</v>
      </c>
      <c r="D36" s="84">
        <v>1779</v>
      </c>
      <c r="E36" s="84">
        <v>249</v>
      </c>
      <c r="F36" s="84">
        <v>248</v>
      </c>
      <c r="G36" s="84">
        <v>83299</v>
      </c>
      <c r="H36" s="84">
        <v>437</v>
      </c>
      <c r="I36" s="84">
        <v>547</v>
      </c>
      <c r="J36" s="84">
        <v>2592</v>
      </c>
      <c r="K36" s="84">
        <v>549</v>
      </c>
      <c r="L36" s="84">
        <v>437</v>
      </c>
      <c r="M36" s="84">
        <v>1966</v>
      </c>
      <c r="N36" s="84">
        <v>174310</v>
      </c>
    </row>
    <row r="37" spans="1:14" ht="12.75" customHeight="1" thickTop="1" x14ac:dyDescent="0.2"/>
    <row r="38" spans="1:14" ht="12.75" customHeight="1" x14ac:dyDescent="0.2">
      <c r="A38" s="78" t="s">
        <v>327</v>
      </c>
    </row>
    <row r="39" spans="1:14" ht="12.75" customHeight="1" x14ac:dyDescent="0.2">
      <c r="A39" s="79" t="s">
        <v>328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</row>
    <row r="40" spans="1:14" ht="12.75" customHeight="1" x14ac:dyDescent="0.2">
      <c r="A40" s="79" t="s">
        <v>329</v>
      </c>
      <c r="B40" s="79">
        <v>0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</row>
    <row r="41" spans="1:14" ht="12.75" customHeight="1" x14ac:dyDescent="0.2">
      <c r="A41" s="80" t="s">
        <v>330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</row>
    <row r="42" spans="1:14" ht="12.75" customHeight="1" x14ac:dyDescent="0.2"/>
    <row r="43" spans="1:14" ht="12.75" customHeight="1" x14ac:dyDescent="0.2">
      <c r="A43" s="78" t="s">
        <v>331</v>
      </c>
    </row>
    <row r="44" spans="1:14" ht="12.75" customHeight="1" x14ac:dyDescent="0.2">
      <c r="A44" s="79" t="s">
        <v>332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</row>
    <row r="45" spans="1:14" ht="12.75" customHeight="1" x14ac:dyDescent="0.2">
      <c r="A45" s="79" t="s">
        <v>333</v>
      </c>
      <c r="B45" s="79">
        <v>15</v>
      </c>
      <c r="C45" s="79">
        <v>15</v>
      </c>
      <c r="D45" s="79">
        <v>15</v>
      </c>
      <c r="E45" s="79">
        <v>15</v>
      </c>
      <c r="F45" s="79">
        <v>15</v>
      </c>
      <c r="G45" s="79">
        <v>15</v>
      </c>
      <c r="H45" s="79">
        <v>15</v>
      </c>
      <c r="I45" s="79">
        <v>15</v>
      </c>
      <c r="J45" s="79">
        <v>55</v>
      </c>
      <c r="K45" s="79">
        <v>25</v>
      </c>
      <c r="L45" s="79">
        <v>15</v>
      </c>
      <c r="M45" s="79">
        <v>15</v>
      </c>
      <c r="N45" s="79">
        <v>230</v>
      </c>
    </row>
    <row r="46" spans="1:14" ht="12.75" customHeight="1" x14ac:dyDescent="0.2">
      <c r="A46" s="79" t="s">
        <v>334</v>
      </c>
      <c r="B46" s="79">
        <v>0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</row>
    <row r="47" spans="1:14" ht="12.75" customHeight="1" x14ac:dyDescent="0.2">
      <c r="A47" s="79" t="s">
        <v>335</v>
      </c>
      <c r="B47" s="79">
        <v>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50</v>
      </c>
    </row>
    <row r="48" spans="1:14" ht="12.75" customHeight="1" x14ac:dyDescent="0.2">
      <c r="A48" s="79" t="s">
        <v>336</v>
      </c>
      <c r="B48" s="79">
        <v>0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</row>
    <row r="49" spans="1:14" ht="12.75" customHeight="1" x14ac:dyDescent="0.2">
      <c r="A49" s="79" t="s">
        <v>337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295</v>
      </c>
      <c r="L49" s="79">
        <v>0</v>
      </c>
      <c r="M49" s="79">
        <v>0</v>
      </c>
      <c r="N49" s="79">
        <v>295</v>
      </c>
    </row>
    <row r="50" spans="1:14" ht="12.75" customHeight="1" x14ac:dyDescent="0.2">
      <c r="A50" s="79" t="s">
        <v>338</v>
      </c>
      <c r="B50" s="79">
        <v>472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472</v>
      </c>
    </row>
    <row r="51" spans="1:14" ht="12.75" customHeight="1" x14ac:dyDescent="0.2">
      <c r="A51" s="79" t="s">
        <v>339</v>
      </c>
      <c r="B51" s="79">
        <v>0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</row>
    <row r="52" spans="1:14" ht="12.75" customHeight="1" x14ac:dyDescent="0.2">
      <c r="A52" s="79" t="s">
        <v>340</v>
      </c>
      <c r="B52" s="79">
        <v>220</v>
      </c>
      <c r="C52" s="79">
        <v>280</v>
      </c>
      <c r="D52" s="79">
        <v>215</v>
      </c>
      <c r="E52" s="79">
        <v>675</v>
      </c>
      <c r="F52" s="79">
        <v>215</v>
      </c>
      <c r="G52" s="79">
        <v>215</v>
      </c>
      <c r="H52" s="79">
        <v>215</v>
      </c>
      <c r="I52" s="79">
        <v>215</v>
      </c>
      <c r="J52" s="79">
        <v>215</v>
      </c>
      <c r="K52" s="79">
        <v>215</v>
      </c>
      <c r="L52" s="79">
        <v>215</v>
      </c>
      <c r="M52" s="79">
        <v>215</v>
      </c>
      <c r="N52" s="79">
        <v>3110</v>
      </c>
    </row>
    <row r="53" spans="1:14" ht="12.75" customHeight="1" x14ac:dyDescent="0.2">
      <c r="A53" s="79" t="s">
        <v>341</v>
      </c>
      <c r="B53" s="79">
        <v>380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380</v>
      </c>
    </row>
    <row r="54" spans="1:14" ht="12.75" customHeight="1" x14ac:dyDescent="0.2">
      <c r="A54" s="79" t="s">
        <v>342</v>
      </c>
      <c r="B54" s="79">
        <v>850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850</v>
      </c>
    </row>
    <row r="55" spans="1:14" ht="12.75" customHeight="1" x14ac:dyDescent="0.2">
      <c r="A55" s="79" t="s">
        <v>343</v>
      </c>
      <c r="B55" s="79">
        <v>3050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840</v>
      </c>
      <c r="J55" s="79">
        <v>0</v>
      </c>
      <c r="K55" s="79">
        <v>0</v>
      </c>
      <c r="L55" s="79">
        <v>0</v>
      </c>
      <c r="M55" s="79">
        <v>0</v>
      </c>
      <c r="N55" s="79">
        <v>3890</v>
      </c>
    </row>
    <row r="56" spans="1:14" ht="12.75" customHeight="1" x14ac:dyDescent="0.2">
      <c r="A56" s="79" t="s">
        <v>344</v>
      </c>
      <c r="B56" s="79">
        <v>93</v>
      </c>
      <c r="C56" s="79">
        <v>92</v>
      </c>
      <c r="D56" s="79">
        <v>92</v>
      </c>
      <c r="E56" s="79">
        <v>92</v>
      </c>
      <c r="F56" s="79">
        <v>92</v>
      </c>
      <c r="G56" s="79">
        <v>92</v>
      </c>
      <c r="H56" s="79">
        <v>92</v>
      </c>
      <c r="I56" s="79">
        <v>92</v>
      </c>
      <c r="J56" s="79">
        <v>91</v>
      </c>
      <c r="K56" s="79">
        <v>91</v>
      </c>
      <c r="L56" s="79">
        <v>91</v>
      </c>
      <c r="M56" s="79">
        <v>91</v>
      </c>
      <c r="N56" s="79">
        <v>1101</v>
      </c>
    </row>
    <row r="57" spans="1:14" ht="12.75" customHeight="1" x14ac:dyDescent="0.2">
      <c r="A57" s="79" t="s">
        <v>345</v>
      </c>
      <c r="B57" s="79">
        <v>0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</row>
    <row r="58" spans="1:14" ht="12.75" customHeight="1" x14ac:dyDescent="0.2">
      <c r="A58" s="79" t="s">
        <v>346</v>
      </c>
      <c r="B58" s="79">
        <v>16</v>
      </c>
      <c r="C58" s="79">
        <v>16</v>
      </c>
      <c r="D58" s="79">
        <v>16</v>
      </c>
      <c r="E58" s="79">
        <v>15</v>
      </c>
      <c r="F58" s="79">
        <v>15</v>
      </c>
      <c r="G58" s="79">
        <v>15</v>
      </c>
      <c r="H58" s="79">
        <v>15</v>
      </c>
      <c r="I58" s="79">
        <v>15</v>
      </c>
      <c r="J58" s="79">
        <v>15</v>
      </c>
      <c r="K58" s="79">
        <v>15</v>
      </c>
      <c r="L58" s="79">
        <v>15</v>
      </c>
      <c r="M58" s="79">
        <v>15</v>
      </c>
      <c r="N58" s="79">
        <v>183</v>
      </c>
    </row>
    <row r="59" spans="1:14" ht="12.75" customHeight="1" x14ac:dyDescent="0.2">
      <c r="A59" s="79" t="s">
        <v>347</v>
      </c>
      <c r="B59" s="79">
        <v>84</v>
      </c>
      <c r="C59" s="79">
        <v>84</v>
      </c>
      <c r="D59" s="79">
        <v>84</v>
      </c>
      <c r="E59" s="79">
        <v>84</v>
      </c>
      <c r="F59" s="79">
        <v>83</v>
      </c>
      <c r="G59" s="79">
        <v>83</v>
      </c>
      <c r="H59" s="79">
        <v>83</v>
      </c>
      <c r="I59" s="79">
        <v>83</v>
      </c>
      <c r="J59" s="79">
        <v>83</v>
      </c>
      <c r="K59" s="79">
        <v>83</v>
      </c>
      <c r="L59" s="79">
        <v>83</v>
      </c>
      <c r="M59" s="79">
        <v>83</v>
      </c>
      <c r="N59" s="79">
        <v>1000</v>
      </c>
    </row>
    <row r="60" spans="1:14" ht="12.75" customHeight="1" x14ac:dyDescent="0.2">
      <c r="A60" s="79" t="s">
        <v>348</v>
      </c>
      <c r="B60" s="79">
        <v>865</v>
      </c>
      <c r="C60" s="79">
        <v>865</v>
      </c>
      <c r="D60" s="79">
        <v>865</v>
      </c>
      <c r="E60" s="79">
        <v>865</v>
      </c>
      <c r="F60" s="79">
        <v>865</v>
      </c>
      <c r="G60" s="79">
        <v>865</v>
      </c>
      <c r="H60" s="79">
        <v>865</v>
      </c>
      <c r="I60" s="79">
        <v>865</v>
      </c>
      <c r="J60" s="79">
        <v>40</v>
      </c>
      <c r="K60" s="79">
        <v>40</v>
      </c>
      <c r="L60" s="79">
        <v>40</v>
      </c>
      <c r="M60" s="79">
        <v>40</v>
      </c>
      <c r="N60" s="79">
        <v>7080</v>
      </c>
    </row>
    <row r="61" spans="1:14" ht="12.75" customHeight="1" x14ac:dyDescent="0.2">
      <c r="A61" s="79" t="s">
        <v>349</v>
      </c>
      <c r="B61" s="79">
        <v>60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60</v>
      </c>
    </row>
    <row r="62" spans="1:14" ht="12.75" customHeight="1" x14ac:dyDescent="0.2">
      <c r="A62" s="79" t="s">
        <v>350</v>
      </c>
      <c r="B62" s="79">
        <v>263</v>
      </c>
      <c r="C62" s="79">
        <v>263</v>
      </c>
      <c r="D62" s="79">
        <v>263</v>
      </c>
      <c r="E62" s="79">
        <v>263</v>
      </c>
      <c r="F62" s="79">
        <v>263</v>
      </c>
      <c r="G62" s="79">
        <v>263</v>
      </c>
      <c r="H62" s="79">
        <v>262</v>
      </c>
      <c r="I62" s="79">
        <v>262</v>
      </c>
      <c r="J62" s="79">
        <v>262</v>
      </c>
      <c r="K62" s="79">
        <v>262</v>
      </c>
      <c r="L62" s="79">
        <v>262</v>
      </c>
      <c r="M62" s="79">
        <v>262</v>
      </c>
      <c r="N62" s="79">
        <v>3150</v>
      </c>
    </row>
    <row r="63" spans="1:14" ht="12.75" customHeight="1" x14ac:dyDescent="0.2">
      <c r="A63" s="79" t="s">
        <v>351</v>
      </c>
      <c r="B63" s="79">
        <v>200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200</v>
      </c>
    </row>
    <row r="64" spans="1:14" ht="12.75" customHeight="1" x14ac:dyDescent="0.2">
      <c r="A64" s="79" t="s">
        <v>352</v>
      </c>
      <c r="B64" s="79">
        <v>225</v>
      </c>
      <c r="C64" s="79">
        <v>225</v>
      </c>
      <c r="D64" s="79">
        <v>225</v>
      </c>
      <c r="E64" s="79">
        <v>150</v>
      </c>
      <c r="F64" s="79">
        <v>0</v>
      </c>
      <c r="G64" s="79">
        <v>0</v>
      </c>
      <c r="H64" s="79">
        <v>50</v>
      </c>
      <c r="I64" s="79">
        <v>75</v>
      </c>
      <c r="J64" s="79">
        <v>225</v>
      </c>
      <c r="K64" s="79">
        <v>225</v>
      </c>
      <c r="L64" s="79">
        <v>225</v>
      </c>
      <c r="M64" s="79">
        <v>225</v>
      </c>
      <c r="N64" s="79">
        <v>1850</v>
      </c>
    </row>
    <row r="65" spans="1:14" ht="12.75" customHeight="1" x14ac:dyDescent="0.2">
      <c r="A65" s="79" t="s">
        <v>353</v>
      </c>
      <c r="B65" s="79">
        <v>239</v>
      </c>
      <c r="C65" s="79">
        <v>239</v>
      </c>
      <c r="D65" s="79">
        <v>239</v>
      </c>
      <c r="E65" s="79">
        <v>239</v>
      </c>
      <c r="F65" s="79">
        <v>239</v>
      </c>
      <c r="G65" s="79">
        <v>239</v>
      </c>
      <c r="H65" s="79">
        <v>239</v>
      </c>
      <c r="I65" s="79">
        <v>239</v>
      </c>
      <c r="J65" s="79">
        <v>239</v>
      </c>
      <c r="K65" s="79">
        <v>238</v>
      </c>
      <c r="L65" s="79">
        <v>238</v>
      </c>
      <c r="M65" s="79">
        <v>238</v>
      </c>
      <c r="N65" s="79">
        <v>2865</v>
      </c>
    </row>
    <row r="66" spans="1:14" ht="12.75" customHeight="1" x14ac:dyDescent="0.2">
      <c r="A66" s="79" t="s">
        <v>354</v>
      </c>
      <c r="B66" s="79">
        <v>100</v>
      </c>
      <c r="C66" s="79">
        <v>100</v>
      </c>
      <c r="D66" s="79">
        <v>100</v>
      </c>
      <c r="E66" s="79">
        <v>100</v>
      </c>
      <c r="F66" s="79">
        <v>100</v>
      </c>
      <c r="G66" s="79">
        <v>100</v>
      </c>
      <c r="H66" s="79">
        <v>100</v>
      </c>
      <c r="I66" s="79">
        <v>100</v>
      </c>
      <c r="J66" s="79">
        <v>100</v>
      </c>
      <c r="K66" s="79">
        <v>100</v>
      </c>
      <c r="L66" s="79">
        <v>100</v>
      </c>
      <c r="M66" s="79">
        <v>100</v>
      </c>
      <c r="N66" s="79">
        <v>1200</v>
      </c>
    </row>
    <row r="67" spans="1:14" ht="12.75" customHeight="1" x14ac:dyDescent="0.2">
      <c r="A67" s="79" t="s">
        <v>355</v>
      </c>
      <c r="B67" s="79">
        <v>1497</v>
      </c>
      <c r="C67" s="79">
        <v>1497</v>
      </c>
      <c r="D67" s="79">
        <v>1496</v>
      </c>
      <c r="E67" s="79">
        <v>1496</v>
      </c>
      <c r="F67" s="79">
        <v>1496</v>
      </c>
      <c r="G67" s="79">
        <v>1496</v>
      </c>
      <c r="H67" s="79">
        <v>1496</v>
      </c>
      <c r="I67" s="79">
        <v>0</v>
      </c>
      <c r="J67" s="79">
        <v>0</v>
      </c>
      <c r="K67" s="79">
        <v>0</v>
      </c>
      <c r="L67" s="79">
        <v>0</v>
      </c>
      <c r="M67" s="79">
        <v>1496</v>
      </c>
      <c r="N67" s="79">
        <v>11970</v>
      </c>
    </row>
    <row r="68" spans="1:14" ht="12.75" customHeight="1" x14ac:dyDescent="0.2">
      <c r="A68" s="79" t="s">
        <v>356</v>
      </c>
      <c r="B68" s="79">
        <v>0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2866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2866</v>
      </c>
    </row>
    <row r="69" spans="1:14" ht="12.75" customHeight="1" x14ac:dyDescent="0.2">
      <c r="A69" s="79" t="s">
        <v>357</v>
      </c>
      <c r="B69" s="79">
        <v>0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</row>
    <row r="70" spans="1:14" ht="12.75" customHeight="1" x14ac:dyDescent="0.2">
      <c r="A70" s="79" t="s">
        <v>358</v>
      </c>
      <c r="B70" s="79">
        <v>2530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2530</v>
      </c>
    </row>
    <row r="71" spans="1:14" ht="12.75" customHeight="1" x14ac:dyDescent="0.2">
      <c r="A71" s="79" t="s">
        <v>359</v>
      </c>
      <c r="B71" s="79">
        <v>0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</row>
    <row r="72" spans="1:14" ht="12.75" customHeight="1" x14ac:dyDescent="0.2">
      <c r="A72" s="79" t="s">
        <v>360</v>
      </c>
      <c r="B72" s="79">
        <v>592</v>
      </c>
      <c r="C72" s="79">
        <v>592</v>
      </c>
      <c r="D72" s="79">
        <v>592</v>
      </c>
      <c r="E72" s="79">
        <v>592</v>
      </c>
      <c r="F72" s="79">
        <v>592</v>
      </c>
      <c r="G72" s="79">
        <v>592</v>
      </c>
      <c r="H72" s="79">
        <v>592</v>
      </c>
      <c r="I72" s="79">
        <v>592</v>
      </c>
      <c r="J72" s="79">
        <v>591</v>
      </c>
      <c r="K72" s="79">
        <v>591</v>
      </c>
      <c r="L72" s="79">
        <v>591</v>
      </c>
      <c r="M72" s="79">
        <v>591</v>
      </c>
      <c r="N72" s="79">
        <v>7100</v>
      </c>
    </row>
    <row r="73" spans="1:14" ht="12.75" customHeight="1" x14ac:dyDescent="0.2">
      <c r="A73" s="79" t="s">
        <v>361</v>
      </c>
      <c r="B73" s="79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</row>
    <row r="74" spans="1:14" ht="12.75" customHeight="1" x14ac:dyDescent="0.2">
      <c r="A74" s="79" t="s">
        <v>362</v>
      </c>
      <c r="B74" s="79">
        <v>2000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2000</v>
      </c>
    </row>
    <row r="75" spans="1:14" ht="12.75" customHeight="1" x14ac:dyDescent="0.2">
      <c r="A75" s="79" t="s">
        <v>363</v>
      </c>
      <c r="B75" s="79">
        <v>0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</row>
    <row r="76" spans="1:14" ht="12.75" customHeight="1" x14ac:dyDescent="0.2">
      <c r="A76" s="79" t="s">
        <v>364</v>
      </c>
      <c r="B76" s="79">
        <v>0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</row>
    <row r="77" spans="1:14" ht="12.75" customHeight="1" x14ac:dyDescent="0.2">
      <c r="A77" s="79" t="s">
        <v>365</v>
      </c>
      <c r="B77" s="79">
        <v>0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</row>
    <row r="78" spans="1:14" ht="12.75" customHeight="1" x14ac:dyDescent="0.2">
      <c r="A78" s="79" t="s">
        <v>366</v>
      </c>
      <c r="B78" s="79">
        <v>0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</row>
    <row r="79" spans="1:14" ht="12.75" customHeight="1" x14ac:dyDescent="0.2">
      <c r="A79" s="79" t="s">
        <v>367</v>
      </c>
      <c r="B79" s="79">
        <v>630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630</v>
      </c>
    </row>
    <row r="80" spans="1:14" ht="12.75" customHeight="1" x14ac:dyDescent="0.2">
      <c r="A80" s="79" t="s">
        <v>368</v>
      </c>
      <c r="B80" s="79">
        <v>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</row>
    <row r="81" spans="1:14" ht="12.75" customHeight="1" x14ac:dyDescent="0.2">
      <c r="A81" s="79" t="s">
        <v>369</v>
      </c>
      <c r="B81" s="79">
        <v>2000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2000</v>
      </c>
    </row>
    <row r="82" spans="1:14" ht="12.75" customHeight="1" x14ac:dyDescent="0.2">
      <c r="A82" s="79" t="s">
        <v>370</v>
      </c>
      <c r="B82" s="79">
        <v>70</v>
      </c>
      <c r="C82" s="79">
        <v>70</v>
      </c>
      <c r="D82" s="79">
        <v>70</v>
      </c>
      <c r="E82" s="79">
        <v>70</v>
      </c>
      <c r="F82" s="79">
        <v>985</v>
      </c>
      <c r="G82" s="79">
        <v>70</v>
      </c>
      <c r="H82" s="79">
        <v>70</v>
      </c>
      <c r="I82" s="79">
        <v>70</v>
      </c>
      <c r="J82" s="79">
        <v>210</v>
      </c>
      <c r="K82" s="79">
        <v>70</v>
      </c>
      <c r="L82" s="79">
        <v>70</v>
      </c>
      <c r="M82" s="79">
        <v>70</v>
      </c>
      <c r="N82" s="79">
        <v>1895</v>
      </c>
    </row>
    <row r="83" spans="1:14" ht="12.75" customHeight="1" x14ac:dyDescent="0.2">
      <c r="A83" s="79" t="s">
        <v>371</v>
      </c>
      <c r="B83" s="79">
        <v>250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420</v>
      </c>
      <c r="N83" s="79">
        <v>670</v>
      </c>
    </row>
    <row r="84" spans="1:14" ht="12.75" customHeight="1" x14ac:dyDescent="0.2">
      <c r="A84" s="79" t="s">
        <v>372</v>
      </c>
      <c r="B84" s="79">
        <v>0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</row>
    <row r="85" spans="1:14" ht="12.75" customHeight="1" x14ac:dyDescent="0.2">
      <c r="A85" s="79" t="s">
        <v>373</v>
      </c>
      <c r="B85" s="79">
        <v>40</v>
      </c>
      <c r="C85" s="79">
        <v>40</v>
      </c>
      <c r="D85" s="79">
        <v>370</v>
      </c>
      <c r="E85" s="79">
        <v>40</v>
      </c>
      <c r="F85" s="79">
        <v>40</v>
      </c>
      <c r="G85" s="79">
        <v>440</v>
      </c>
      <c r="H85" s="79">
        <v>40</v>
      </c>
      <c r="I85" s="79">
        <v>40</v>
      </c>
      <c r="J85" s="79">
        <v>40</v>
      </c>
      <c r="K85" s="79">
        <v>230</v>
      </c>
      <c r="L85" s="79">
        <v>40</v>
      </c>
      <c r="M85" s="79">
        <v>40</v>
      </c>
      <c r="N85" s="79">
        <v>1400</v>
      </c>
    </row>
    <row r="86" spans="1:14" ht="12.75" customHeight="1" x14ac:dyDescent="0.2">
      <c r="A86" s="79" t="s">
        <v>374</v>
      </c>
      <c r="B86" s="79">
        <v>12</v>
      </c>
      <c r="C86" s="79">
        <v>8</v>
      </c>
      <c r="D86" s="79">
        <v>8</v>
      </c>
      <c r="E86" s="79">
        <v>8</v>
      </c>
      <c r="F86" s="79">
        <v>8</v>
      </c>
      <c r="G86" s="79">
        <v>8</v>
      </c>
      <c r="H86" s="79">
        <v>8</v>
      </c>
      <c r="I86" s="79">
        <v>8</v>
      </c>
      <c r="J86" s="79">
        <v>8</v>
      </c>
      <c r="K86" s="79">
        <v>8</v>
      </c>
      <c r="L86" s="79">
        <v>8</v>
      </c>
      <c r="M86" s="79">
        <v>8</v>
      </c>
      <c r="N86" s="79">
        <v>100</v>
      </c>
    </row>
    <row r="87" spans="1:14" ht="12.75" customHeight="1" x14ac:dyDescent="0.2">
      <c r="A87" s="79" t="s">
        <v>375</v>
      </c>
      <c r="B87" s="79">
        <v>4311</v>
      </c>
      <c r="C87" s="79">
        <v>4311</v>
      </c>
      <c r="D87" s="79">
        <v>4311</v>
      </c>
      <c r="E87" s="79">
        <v>4311</v>
      </c>
      <c r="F87" s="79">
        <v>4311</v>
      </c>
      <c r="G87" s="79">
        <v>4311</v>
      </c>
      <c r="H87" s="79">
        <v>4311</v>
      </c>
      <c r="I87" s="79">
        <v>4311</v>
      </c>
      <c r="J87" s="79">
        <v>4311</v>
      </c>
      <c r="K87" s="79">
        <v>4311</v>
      </c>
      <c r="L87" s="79">
        <v>4310</v>
      </c>
      <c r="M87" s="79">
        <v>4310</v>
      </c>
      <c r="N87" s="79">
        <v>51730</v>
      </c>
    </row>
    <row r="88" spans="1:14" ht="12.75" customHeight="1" x14ac:dyDescent="0.2">
      <c r="A88" s="79" t="s">
        <v>376</v>
      </c>
      <c r="B88" s="79">
        <v>71</v>
      </c>
      <c r="C88" s="79">
        <v>71</v>
      </c>
      <c r="D88" s="79">
        <v>71</v>
      </c>
      <c r="E88" s="79">
        <v>71</v>
      </c>
      <c r="F88" s="79">
        <v>71</v>
      </c>
      <c r="G88" s="79">
        <v>71</v>
      </c>
      <c r="H88" s="79">
        <v>71</v>
      </c>
      <c r="I88" s="79">
        <v>71</v>
      </c>
      <c r="J88" s="79">
        <v>71</v>
      </c>
      <c r="K88" s="79">
        <v>71</v>
      </c>
      <c r="L88" s="79">
        <v>70</v>
      </c>
      <c r="M88" s="79">
        <v>70</v>
      </c>
      <c r="N88" s="79">
        <v>850</v>
      </c>
    </row>
    <row r="89" spans="1:14" ht="12.75" customHeight="1" x14ac:dyDescent="0.2">
      <c r="A89" s="79" t="s">
        <v>377</v>
      </c>
      <c r="B89" s="79">
        <v>30</v>
      </c>
      <c r="C89" s="79">
        <v>30</v>
      </c>
      <c r="D89" s="79">
        <v>30</v>
      </c>
      <c r="E89" s="79">
        <v>30</v>
      </c>
      <c r="F89" s="79">
        <v>30</v>
      </c>
      <c r="G89" s="79">
        <v>30</v>
      </c>
      <c r="H89" s="79">
        <v>30</v>
      </c>
      <c r="I89" s="79">
        <v>30</v>
      </c>
      <c r="J89" s="79">
        <v>30</v>
      </c>
      <c r="K89" s="79">
        <v>30</v>
      </c>
      <c r="L89" s="79">
        <v>30</v>
      </c>
      <c r="M89" s="79">
        <v>30</v>
      </c>
      <c r="N89" s="79">
        <v>360</v>
      </c>
    </row>
    <row r="90" spans="1:14" ht="12.75" customHeight="1" x14ac:dyDescent="0.2">
      <c r="A90" s="79" t="s">
        <v>378</v>
      </c>
      <c r="B90" s="79">
        <v>550</v>
      </c>
      <c r="C90" s="79">
        <v>189</v>
      </c>
      <c r="D90" s="79">
        <v>189</v>
      </c>
      <c r="E90" s="79">
        <v>189</v>
      </c>
      <c r="F90" s="79">
        <v>189</v>
      </c>
      <c r="G90" s="79">
        <v>189</v>
      </c>
      <c r="H90" s="79">
        <v>189</v>
      </c>
      <c r="I90" s="79">
        <v>189</v>
      </c>
      <c r="J90" s="79">
        <v>188</v>
      </c>
      <c r="K90" s="79">
        <v>188</v>
      </c>
      <c r="L90" s="79">
        <v>188</v>
      </c>
      <c r="M90" s="79">
        <v>188</v>
      </c>
      <c r="N90" s="79">
        <v>2625</v>
      </c>
    </row>
    <row r="91" spans="1:14" ht="12.75" customHeight="1" x14ac:dyDescent="0.2">
      <c r="A91" s="79" t="s">
        <v>379</v>
      </c>
      <c r="B91" s="79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</row>
    <row r="92" spans="1:14" ht="12.75" customHeight="1" x14ac:dyDescent="0.2">
      <c r="A92" s="79" t="s">
        <v>380</v>
      </c>
      <c r="B92" s="79">
        <v>0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960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960</v>
      </c>
    </row>
    <row r="93" spans="1:14" ht="12.75" customHeight="1" x14ac:dyDescent="0.2">
      <c r="A93" s="79" t="s">
        <v>381</v>
      </c>
      <c r="B93" s="79"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</row>
    <row r="94" spans="1:14" ht="12.75" customHeight="1" x14ac:dyDescent="0.2">
      <c r="A94" s="79" t="s">
        <v>382</v>
      </c>
      <c r="B94" s="79">
        <v>0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</row>
    <row r="95" spans="1:14" ht="12.75" customHeight="1" x14ac:dyDescent="0.2">
      <c r="A95" s="79" t="s">
        <v>383</v>
      </c>
      <c r="B95" s="79">
        <v>1443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1443</v>
      </c>
    </row>
    <row r="96" spans="1:14" ht="12.75" customHeight="1" x14ac:dyDescent="0.2">
      <c r="A96" s="79" t="s">
        <v>384</v>
      </c>
      <c r="B96" s="79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</row>
    <row r="97" spans="1:14" ht="12.75" customHeight="1" x14ac:dyDescent="0.2">
      <c r="A97" s="79" t="s">
        <v>385</v>
      </c>
      <c r="B97" s="79">
        <v>143</v>
      </c>
      <c r="C97" s="79">
        <v>143</v>
      </c>
      <c r="D97" s="79">
        <v>143</v>
      </c>
      <c r="E97" s="79">
        <v>143</v>
      </c>
      <c r="F97" s="79">
        <v>143</v>
      </c>
      <c r="G97" s="79">
        <v>142</v>
      </c>
      <c r="H97" s="79">
        <v>142</v>
      </c>
      <c r="I97" s="79">
        <v>142</v>
      </c>
      <c r="J97" s="79">
        <v>142</v>
      </c>
      <c r="K97" s="79">
        <v>142</v>
      </c>
      <c r="L97" s="79">
        <v>142</v>
      </c>
      <c r="M97" s="79">
        <v>142</v>
      </c>
      <c r="N97" s="79">
        <v>1709</v>
      </c>
    </row>
    <row r="98" spans="1:14" ht="12.75" customHeight="1" x14ac:dyDescent="0.2">
      <c r="A98" s="79" t="s">
        <v>386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</row>
    <row r="99" spans="1:14" ht="12.75" customHeight="1" x14ac:dyDescent="0.2">
      <c r="A99" s="79" t="s">
        <v>387</v>
      </c>
      <c r="B99" s="79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</row>
    <row r="100" spans="1:14" ht="12.75" customHeight="1" x14ac:dyDescent="0.2">
      <c r="A100" s="79" t="s">
        <v>388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</row>
    <row r="101" spans="1:14" ht="12.75" customHeight="1" x14ac:dyDescent="0.2">
      <c r="A101" s="79" t="s">
        <v>389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</row>
    <row r="102" spans="1:14" ht="12.75" customHeight="1" x14ac:dyDescent="0.2">
      <c r="A102" s="79" t="s">
        <v>390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</row>
    <row r="103" spans="1:14" ht="12.75" customHeight="1" x14ac:dyDescent="0.2">
      <c r="A103" s="79" t="s">
        <v>391</v>
      </c>
      <c r="B103" s="79">
        <v>1000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79">
        <v>1000</v>
      </c>
    </row>
    <row r="104" spans="1:14" ht="12.75" customHeight="1" x14ac:dyDescent="0.2">
      <c r="A104" s="79" t="s">
        <v>392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</row>
    <row r="105" spans="1:14" ht="12.75" customHeight="1" x14ac:dyDescent="0.2">
      <c r="A105" s="79" t="s">
        <v>393</v>
      </c>
      <c r="B105" s="79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  <c r="H105" s="79">
        <v>0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</row>
    <row r="106" spans="1:14" ht="12.75" customHeight="1" x14ac:dyDescent="0.2">
      <c r="A106" s="79" t="s">
        <v>394</v>
      </c>
      <c r="B106" s="79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</row>
    <row r="107" spans="1:14" ht="12.75" customHeight="1" x14ac:dyDescent="0.2">
      <c r="A107" s="79" t="s">
        <v>395</v>
      </c>
      <c r="B107" s="79">
        <v>73</v>
      </c>
      <c r="C107" s="79">
        <v>0</v>
      </c>
      <c r="D107" s="79">
        <v>0</v>
      </c>
      <c r="E107" s="79">
        <v>63</v>
      </c>
      <c r="F107" s="79">
        <v>0</v>
      </c>
      <c r="G107" s="79">
        <v>0</v>
      </c>
      <c r="H107" s="79">
        <v>0</v>
      </c>
      <c r="I107" s="79">
        <v>62</v>
      </c>
      <c r="J107" s="79">
        <v>0</v>
      </c>
      <c r="K107" s="79">
        <v>0</v>
      </c>
      <c r="L107" s="79">
        <v>0</v>
      </c>
      <c r="M107" s="79">
        <v>62</v>
      </c>
      <c r="N107" s="79">
        <v>260</v>
      </c>
    </row>
    <row r="108" spans="1:14" ht="12.75" customHeight="1" x14ac:dyDescent="0.2">
      <c r="A108" s="79" t="s">
        <v>396</v>
      </c>
      <c r="B108" s="79">
        <v>62</v>
      </c>
      <c r="C108" s="79">
        <v>62</v>
      </c>
      <c r="D108" s="79">
        <v>62</v>
      </c>
      <c r="E108" s="79">
        <v>61</v>
      </c>
      <c r="F108" s="79">
        <v>61</v>
      </c>
      <c r="G108" s="79">
        <v>61</v>
      </c>
      <c r="H108" s="79">
        <v>61</v>
      </c>
      <c r="I108" s="79">
        <v>61</v>
      </c>
      <c r="J108" s="79">
        <v>61</v>
      </c>
      <c r="K108" s="79">
        <v>61</v>
      </c>
      <c r="L108" s="79">
        <v>61</v>
      </c>
      <c r="M108" s="79">
        <v>61</v>
      </c>
      <c r="N108" s="79">
        <v>735</v>
      </c>
    </row>
    <row r="109" spans="1:14" ht="12.75" customHeight="1" x14ac:dyDescent="0.2">
      <c r="A109" s="79" t="s">
        <v>397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</row>
    <row r="110" spans="1:14" ht="12.75" customHeight="1" x14ac:dyDescent="0.2">
      <c r="A110" s="79" t="s">
        <v>398</v>
      </c>
      <c r="B110" s="79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</row>
    <row r="111" spans="1:14" ht="12.75" customHeight="1" x14ac:dyDescent="0.2">
      <c r="A111" s="79" t="s">
        <v>399</v>
      </c>
      <c r="B111" s="79">
        <v>84</v>
      </c>
      <c r="C111" s="79">
        <v>84</v>
      </c>
      <c r="D111" s="79">
        <v>84</v>
      </c>
      <c r="E111" s="79">
        <v>84</v>
      </c>
      <c r="F111" s="79">
        <v>83</v>
      </c>
      <c r="G111" s="79">
        <v>273</v>
      </c>
      <c r="H111" s="79">
        <v>83</v>
      </c>
      <c r="I111" s="79">
        <v>83</v>
      </c>
      <c r="J111" s="79">
        <v>83</v>
      </c>
      <c r="K111" s="79">
        <v>83</v>
      </c>
      <c r="L111" s="79">
        <v>83</v>
      </c>
      <c r="M111" s="79">
        <v>273</v>
      </c>
      <c r="N111" s="79">
        <v>1380</v>
      </c>
    </row>
    <row r="112" spans="1:14" ht="12.75" customHeight="1" x14ac:dyDescent="0.2">
      <c r="A112" s="79" t="s">
        <v>400</v>
      </c>
      <c r="B112" s="79">
        <v>50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79">
        <v>0</v>
      </c>
      <c r="M112" s="79">
        <v>0</v>
      </c>
      <c r="N112" s="79">
        <v>50</v>
      </c>
    </row>
    <row r="113" spans="1:14" ht="12.75" customHeight="1" x14ac:dyDescent="0.2">
      <c r="A113" s="79" t="s">
        <v>401</v>
      </c>
      <c r="B113" s="79">
        <v>63</v>
      </c>
      <c r="C113" s="79">
        <v>63</v>
      </c>
      <c r="D113" s="79">
        <v>63</v>
      </c>
      <c r="E113" s="79">
        <v>63</v>
      </c>
      <c r="F113" s="79">
        <v>62</v>
      </c>
      <c r="G113" s="79">
        <v>62</v>
      </c>
      <c r="H113" s="79">
        <v>62</v>
      </c>
      <c r="I113" s="79">
        <v>0</v>
      </c>
      <c r="J113" s="79">
        <v>0</v>
      </c>
      <c r="K113" s="79">
        <v>0</v>
      </c>
      <c r="L113" s="79">
        <v>0</v>
      </c>
      <c r="M113" s="79">
        <v>62</v>
      </c>
      <c r="N113" s="79">
        <v>500</v>
      </c>
    </row>
    <row r="114" spans="1:14" ht="12.75" customHeight="1" x14ac:dyDescent="0.2">
      <c r="A114" s="79" t="s">
        <v>402</v>
      </c>
      <c r="B114" s="79">
        <v>338</v>
      </c>
      <c r="C114" s="79">
        <v>338</v>
      </c>
      <c r="D114" s="79">
        <v>338</v>
      </c>
      <c r="E114" s="79">
        <v>338</v>
      </c>
      <c r="F114" s="79">
        <v>338</v>
      </c>
      <c r="G114" s="79">
        <v>338</v>
      </c>
      <c r="H114" s="79">
        <v>337</v>
      </c>
      <c r="I114" s="79">
        <v>337</v>
      </c>
      <c r="J114" s="79">
        <v>337</v>
      </c>
      <c r="K114" s="79">
        <v>337</v>
      </c>
      <c r="L114" s="79">
        <v>337</v>
      </c>
      <c r="M114" s="79">
        <v>337</v>
      </c>
      <c r="N114" s="79">
        <v>4050</v>
      </c>
    </row>
    <row r="115" spans="1:14" ht="12.75" customHeight="1" x14ac:dyDescent="0.2">
      <c r="A115" s="79" t="s">
        <v>403</v>
      </c>
      <c r="B115" s="79">
        <v>284</v>
      </c>
      <c r="C115" s="79">
        <v>284</v>
      </c>
      <c r="D115" s="79">
        <v>284</v>
      </c>
      <c r="E115" s="79">
        <v>283</v>
      </c>
      <c r="F115" s="79">
        <v>283</v>
      </c>
      <c r="G115" s="79">
        <v>283</v>
      </c>
      <c r="H115" s="79">
        <v>283</v>
      </c>
      <c r="I115" s="79">
        <v>283</v>
      </c>
      <c r="J115" s="79">
        <v>0</v>
      </c>
      <c r="K115" s="79">
        <v>0</v>
      </c>
      <c r="L115" s="79">
        <v>0</v>
      </c>
      <c r="M115" s="79">
        <v>283</v>
      </c>
      <c r="N115" s="79">
        <v>2550</v>
      </c>
    </row>
    <row r="116" spans="1:14" ht="12.75" customHeight="1" x14ac:dyDescent="0.2">
      <c r="A116" s="79" t="s">
        <v>404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</row>
    <row r="117" spans="1:14" ht="12.75" customHeight="1" x14ac:dyDescent="0.2">
      <c r="A117" s="79" t="s">
        <v>405</v>
      </c>
      <c r="B117" s="79">
        <v>910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910</v>
      </c>
    </row>
    <row r="118" spans="1:14" ht="12.75" customHeight="1" x14ac:dyDescent="0.2">
      <c r="A118" s="79" t="s">
        <v>406</v>
      </c>
      <c r="B118" s="79">
        <v>62</v>
      </c>
      <c r="C118" s="79">
        <v>62</v>
      </c>
      <c r="D118" s="79">
        <v>62</v>
      </c>
      <c r="E118" s="79">
        <v>62</v>
      </c>
      <c r="F118" s="79">
        <v>62</v>
      </c>
      <c r="G118" s="79">
        <v>62</v>
      </c>
      <c r="H118" s="79">
        <v>62</v>
      </c>
      <c r="I118" s="79">
        <v>62</v>
      </c>
      <c r="J118" s="79">
        <v>61</v>
      </c>
      <c r="K118" s="79">
        <v>61</v>
      </c>
      <c r="L118" s="79">
        <v>61</v>
      </c>
      <c r="M118" s="79">
        <v>61</v>
      </c>
      <c r="N118" s="79">
        <v>740</v>
      </c>
    </row>
    <row r="119" spans="1:14" ht="12.75" customHeight="1" x14ac:dyDescent="0.2">
      <c r="A119" s="79" t="s">
        <v>407</v>
      </c>
      <c r="B119" s="79">
        <v>27</v>
      </c>
      <c r="C119" s="79">
        <v>27</v>
      </c>
      <c r="D119" s="79">
        <v>27</v>
      </c>
      <c r="E119" s="79">
        <v>26</v>
      </c>
      <c r="F119" s="79">
        <v>26</v>
      </c>
      <c r="G119" s="79">
        <v>26</v>
      </c>
      <c r="H119" s="79">
        <v>26</v>
      </c>
      <c r="I119" s="79">
        <v>26</v>
      </c>
      <c r="J119" s="79">
        <v>26</v>
      </c>
      <c r="K119" s="79">
        <v>26</v>
      </c>
      <c r="L119" s="79">
        <v>26</v>
      </c>
      <c r="M119" s="79">
        <v>26</v>
      </c>
      <c r="N119" s="79">
        <v>315</v>
      </c>
    </row>
    <row r="120" spans="1:14" ht="12.75" customHeight="1" x14ac:dyDescent="0.2">
      <c r="A120" s="79" t="s">
        <v>408</v>
      </c>
      <c r="B120" s="79">
        <v>1950</v>
      </c>
      <c r="C120" s="79">
        <v>0</v>
      </c>
      <c r="D120" s="79">
        <v>0</v>
      </c>
      <c r="E120" s="79">
        <v>500</v>
      </c>
      <c r="F120" s="79">
        <v>1000</v>
      </c>
      <c r="G120" s="79">
        <v>0</v>
      </c>
      <c r="H120" s="79">
        <v>500</v>
      </c>
      <c r="I120" s="79">
        <v>0</v>
      </c>
      <c r="J120" s="79">
        <v>0</v>
      </c>
      <c r="K120" s="79">
        <v>0</v>
      </c>
      <c r="L120" s="79">
        <v>250</v>
      </c>
      <c r="M120" s="79">
        <v>0</v>
      </c>
      <c r="N120" s="79">
        <v>4200</v>
      </c>
    </row>
    <row r="121" spans="1:14" ht="12.75" customHeight="1" x14ac:dyDescent="0.2">
      <c r="A121" s="79" t="s">
        <v>409</v>
      </c>
      <c r="B121" s="79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</row>
    <row r="122" spans="1:14" ht="12.75" customHeight="1" x14ac:dyDescent="0.2">
      <c r="A122" s="80" t="s">
        <v>410</v>
      </c>
      <c r="B122" s="81">
        <v>28254</v>
      </c>
      <c r="C122" s="81">
        <v>10050</v>
      </c>
      <c r="D122" s="81">
        <v>10314</v>
      </c>
      <c r="E122" s="81">
        <v>10928</v>
      </c>
      <c r="F122" s="81">
        <v>11667</v>
      </c>
      <c r="G122" s="81">
        <v>10341</v>
      </c>
      <c r="H122" s="81">
        <v>14125</v>
      </c>
      <c r="I122" s="81">
        <v>9168</v>
      </c>
      <c r="J122" s="81">
        <v>7484</v>
      </c>
      <c r="K122" s="81">
        <v>7798</v>
      </c>
      <c r="L122" s="81">
        <v>7551</v>
      </c>
      <c r="M122" s="81">
        <v>9814</v>
      </c>
      <c r="N122" s="82">
        <v>137494</v>
      </c>
    </row>
    <row r="123" spans="1:14" ht="12.75" customHeight="1" x14ac:dyDescent="0.2"/>
    <row r="124" spans="1:14" ht="12.75" customHeight="1" thickBot="1" x14ac:dyDescent="0.25">
      <c r="A124" s="83" t="s">
        <v>411</v>
      </c>
      <c r="B124" s="84">
        <v>28254</v>
      </c>
      <c r="C124" s="84">
        <v>10050</v>
      </c>
      <c r="D124" s="84">
        <v>10314</v>
      </c>
      <c r="E124" s="84">
        <v>10928</v>
      </c>
      <c r="F124" s="84">
        <v>11667</v>
      </c>
      <c r="G124" s="84">
        <v>10341</v>
      </c>
      <c r="H124" s="84">
        <v>14125</v>
      </c>
      <c r="I124" s="84">
        <v>9168</v>
      </c>
      <c r="J124" s="84">
        <v>7484</v>
      </c>
      <c r="K124" s="84">
        <v>7798</v>
      </c>
      <c r="L124" s="84">
        <v>7551</v>
      </c>
      <c r="M124" s="84">
        <v>9814</v>
      </c>
      <c r="N124" s="84">
        <v>137494</v>
      </c>
    </row>
    <row r="125" spans="1:14" ht="12.75" customHeight="1" thickTop="1" x14ac:dyDescent="0.2"/>
    <row r="126" spans="1:14" ht="12.75" customHeight="1" thickBot="1" x14ac:dyDescent="0.25">
      <c r="A126" s="83" t="s">
        <v>412</v>
      </c>
      <c r="B126" s="84">
        <v>53515</v>
      </c>
      <c r="C126" s="84">
        <v>-9612</v>
      </c>
      <c r="D126" s="84">
        <v>-8535</v>
      </c>
      <c r="E126" s="84">
        <v>-10679</v>
      </c>
      <c r="F126" s="84">
        <v>-11419</v>
      </c>
      <c r="G126" s="84">
        <v>72958</v>
      </c>
      <c r="H126" s="84">
        <v>-13688</v>
      </c>
      <c r="I126" s="84">
        <v>-8621</v>
      </c>
      <c r="J126" s="84">
        <v>-4892</v>
      </c>
      <c r="K126" s="84">
        <v>-7249</v>
      </c>
      <c r="L126" s="84">
        <v>-7114</v>
      </c>
      <c r="M126" s="84">
        <v>-7848</v>
      </c>
      <c r="N126" s="84">
        <v>36816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Ledger Detail</vt:lpstr>
      <vt:lpstr>Audit Trail Allocated Reserves</vt:lpstr>
      <vt:lpstr>Calendarised Budget in Xero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cp:lastPrinted>2024-12-19T10:45:57Z</cp:lastPrinted>
  <dcterms:created xsi:type="dcterms:W3CDTF">2024-12-05T10:21:39Z</dcterms:created>
  <dcterms:modified xsi:type="dcterms:W3CDTF">2025-04-30T11:15:54Z</dcterms:modified>
</cp:coreProperties>
</file>